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4.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5.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53f50d12fb694e44" /></Relationships>
</file>

<file path=xl/workbook.xml><?xml version="1.0" encoding="utf-8"?>
<x:workbook xmlns:x="http://schemas.openxmlformats.org/spreadsheetml/2006/main">
  <x:sheets>
    <x:sheet xmlns:r="http://schemas.openxmlformats.org/officeDocument/2006/relationships" name="ROI" sheetId="1" r:id="R6ee86493f3a349e8"/>
    <x:sheet xmlns:r="http://schemas.openxmlformats.org/officeDocument/2006/relationships" name="Cashflow" sheetId="2" r:id="Re44c6e1ad44d4600"/>
    <x:sheet xmlns:r="http://schemas.openxmlformats.org/officeDocument/2006/relationships" name="Benefits" sheetId="3" r:id="R8234d5afc27d4420"/>
    <x:sheet xmlns:r="http://schemas.openxmlformats.org/officeDocument/2006/relationships" name="Inputs" sheetId="4" r:id="R8e35fac94a394501"/>
    <x:sheet xmlns:r="http://schemas.openxmlformats.org/officeDocument/2006/relationships" name="Checks" sheetId="5" r:id="R7f31870554d84093"/>
  </x:sheets>
</x:workbook>
</file>

<file path=xl/comments1.xml><?xml version="1.0" encoding="utf-8"?>
<x:comments xmlns:x="http://schemas.openxmlformats.org/spreadsheetml/2006/main">
  <x:authors>
    <x:author>tc={88A1C5D8-E055-4113-B5DC-7907D799FDE4}</x:author>
    <x:author>tc={32FEB2D1-0E02-4E87-9DFD-F9EDD20D3E3B}</x:author>
    <x:author>tc={CC489177-830E-40F8-AFE1-80231CC6DEFE}</x:author>
    <x:author>tc={350BF28F-FCFC-44BA-892F-E415FC03EE32}</x:author>
    <x:author>tc={D50D5006-0800-4F7B-8EB2-481C4D0E5578}</x:author>
    <x:author>tc={8614CB67-8512-44C4-8C61-45CA9E95E86C}</x:author>
  </x:authors>
  <x:commentList>
    <x:comment ref="B6" authorId="0">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24 completed packages/month × 12 = 288 annual tasks.</x:t>
        </x:r>
      </x:text>
    </x:comment>
    <x:comment ref="C6" authorId="1">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14 preparation hours/package × 60 minutes = 840 baseline minutes/task.</x:t>
        </x:r>
      </x:text>
    </x:comment>
    <x:comment ref="B7" authorId="2">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80 completed packages/month × 12 = 960 annual tasks.</x:t>
        </x:r>
      </x:text>
    </x:comment>
    <x:comment ref="C7" authorId="3">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3 preparation hours/package × 60 minutes = 180 baseline minutes/task.</x:t>
        </x:r>
      </x:text>
    </x:comment>
    <x:comment ref="B8" authorId="4">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48 completed packages/month × 12 = 576 annual tasks.</x:t>
        </x:r>
      </x:text>
    </x:comment>
    <x:comment ref="C8" authorId="5">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5 preparation hours/package × 60 minutes = 300 baseline minutes/task.</x:t>
        </x:r>
      </x:text>
    </x:comment>
  </x:commentList>
</x:comments>
</file>

<file path=xl/comments2.xml><?xml version="1.0" encoding="utf-8"?>
<x:comments xmlns:x="http://schemas.openxmlformats.org/spreadsheetml/2006/main">
  <x:authors>
    <x:author>tc={65A90AE2-35D7-4849-8949-AA4469B0B999}</x:author>
    <x:author>tc={9642F2D9-867B-4143-A286-164975DAB947}</x:author>
    <x:author>tc={D0EC838B-5857-4E4E-A499-EB71B81B0B1D}</x:author>
    <x:author>tc={5856F379-B0AC-4BB2-A63E-FEA467CA5115}</x:author>
    <x:author>tc={E5A66A54-DB14-468E-A8FA-47612EF367A3}</x:author>
    <x:author>tc={7045EEBD-7A00-425B-87BB-3A02B1251D68}</x:author>
    <x:author>tc={2EADBB46-5C09-40FE-B91C-46B4664F5732}</x:author>
    <x:author>tc={3DC1C6F9-400C-4293-BCC1-A3737C66A468}</x:author>
    <x:author>tc={23629084-8021-491F-ACBC-C89140DB8CBF}</x:author>
    <x:author>tc={1AFE113A-3809-4CAB-93AA-135947844B4F}</x:author>
    <x:author>tc={409E4D70-5812-4857-963B-B284FE696C5A}</x:author>
    <x:author>tc={884CDAB5-224E-4C48-BB8C-FD4FCAAFD77D}</x:author>
    <x:author>tc={948789A2-2449-4DC7-82E0-5931EB063FBF}</x:author>
    <x:author>tc={B2C01290-FAC5-4CEA-A3D0-DDCBBB8BA68F}</x:author>
    <x:author>tc={54338C73-774F-4E56-B77B-BD9B8094FD45}</x:author>
    <x:author>tc={D03169CD-CB77-4473-98F4-CEA9B23A4FB0}</x:author>
    <x:author>tc={5EA2EBF9-EB67-4D5B-BE5E-87CC794F7456}</x:author>
    <x:author>tc={D206697A-544C-4B2F-82D6-6CEAEF76C086}</x:author>
    <x:author>tc={A0FF991F-5DC4-4D1F-B5D2-9D0A7AE34C90}</x:author>
    <x:author>tc={8C6C10E4-E75B-48CF-BBDF-5A49F7CEBA15}</x:author>
    <x:author>tc={4F8CBCA6-050F-4E46-A249-5CF32C108E5B}</x:author>
    <x:author>tc={814A5CB2-FAD5-4851-9664-31D40075604D}</x:author>
    <x:author>tc={A070E5F7-5442-41F0-A5B3-5F2982174A64}</x:author>
    <x:author>tc={ACBF7FE7-D6FD-4383-ADD7-656FB02D153D}</x:author>
    <x:author>tc={19892188-1A01-45A4-B0AA-79ABE7780E5F}</x:author>
    <x:author>tc={DB9588A8-D762-4C27-8CA3-9C2391EF9AF8}</x:author>
    <x:author>tc={5FE3783A-E716-4E20-8493-BFA9A456E061}</x:author>
    <x:author>tc={06BF0F4D-820E-4A44-917B-54134FE7E5B9}</x:author>
    <x:author>tc={A29AD822-C81D-4C0C-9214-7EA684C007D8}</x:author>
    <x:author>tc={69C62EB8-3A4C-4EB1-9704-44AC0769B0D9}</x:author>
    <x:author>tc={D3133B7D-3C48-4D7C-98E2-C797C5BE94A5}</x:author>
    <x:author>tc={BCAD17F4-7203-49B5-BB05-BA319FD76D22}</x:author>
    <x:author>tc={F9A52FA7-F2D2-4954-8130-C2AB587DA870}</x:author>
    <x:author>tc={3A8157E2-8A0B-440D-9B91-E03BF02F7056}</x:author>
    <x:author>tc={D90A5613-84B3-48FE-9D65-DC2A2678D2D7}</x:author>
    <x:author>tc={1A8B37A6-4FDF-4CE2-B93B-DF63BE2058D4}</x:author>
    <x:author>tc={A1039AE5-7240-428C-B5EB-342A79FA4FF5}</x:author>
    <x:author>tc={B13A7FFA-3539-4F71-9673-DBF5DB8CD48B}</x:author>
    <x:author>tc={CBECC9DF-E7D9-4767-A6B6-45DEFD795DA4}</x:author>
    <x:author>tc={558D0F62-D756-43A4-A6DF-953D4335E8A6}</x:author>
    <x:author>tc={E45EA2F6-DAE4-47FE-BA2F-41ABBA73D4AC}</x:author>
    <x:author>tc={461EE59F-B22A-4954-8DAF-D1F170550E4A}</x:author>
    <x:author>tc={122B5700-48BD-4548-A23A-D3F50F16985A}</x:author>
    <x:author>tc={6239A7C0-853F-46D5-9CF4-70F26CD425E5}</x:author>
    <x:author>tc={CFBACEA5-4017-44D9-9529-3782E143B6C1}</x:author>
    <x:author>tc={F46010B6-FB17-4AD5-AA0E-7911D077600B}</x:author>
    <x:author>tc={E134C91F-0483-4016-AEBC-F26D6C48A9CB}</x:author>
    <x:author>tc={2F73BF8B-1EB4-404C-8918-FB89EEF61E0C}</x:author>
  </x:authors>
  <x:commentList>
    <x:comment ref="B6" authorId="0">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Header, opportunity AV-2026-041.</x:t>
        </x:r>
      </x:text>
    </x:comment>
    <x:comment ref="B7" authorId="1">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20 (planned service start). Date is subject to executed order.</x:t>
        </x:r>
      </x:text>
    </x:comment>
    <x:comment ref="B8" authorId="2">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heading and fee table, USD.</x:t>
        </x:r>
      </x:text>
    </x:comment>
    <x:comment ref="B9" authorId="3">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rows 14–15; tax excluded and separately itemized, amount not stated.</x:t>
        </x:r>
      </x:text>
    </x:comment>
    <x:comment ref="B10" authorId="4">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6, 60 seats at $1,080/year. Year 2–3 are renewal-at-current-rate assumptions, not a fixed multiyear price.</x:t>
        </x:r>
      </x:text>
    </x:comment>
    <x:comment ref="C10" authorId="5">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6, 60 seats at $1,080/year. Year 2–3 are renewal-at-current-rate assumptions, not a fixed multiyear price.</x:t>
        </x:r>
      </x:text>
    </x:comment>
    <x:comment ref="D10" authorId="6">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6, 60 seats at $1,080/year. Year 2–3 are renewal-at-current-rate assumptions, not a fixed multiyear price.</x:t>
        </x:r>
      </x:text>
    </x:comment>
    <x:comment ref="B11" authorId="7">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7, annual support $4,800. Year 2–3 are renewal-at-current-rate assumptions.</x:t>
        </x:r>
      </x:text>
    </x:comment>
    <x:comment ref="C11" authorId="8">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7, annual support $4,800. Year 2–3 are renewal-at-current-rate assumptions.</x:t>
        </x:r>
      </x:text>
    </x:comment>
    <x:comment ref="D11" authorId="9">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7, annual support $4,800. Year 2–3 are renewal-at-current-rate assumptions.</x:t>
        </x:r>
      </x:text>
    </x:comment>
    <x:comment ref="B12" authorId="10">
      <x:text>
        <x:r>
          <x:t>[Threaded comment]
Your version of Excel allows you to read this threaded comment; however, any edits to it will get removed if the file is opened in a newer version of Excel. Learn more: https://go.microsoft.com/fwlink/?linkid=870924
Comment:
    Assumption: $0 other incremental annual cash costs identified in the supplied baseline/quote. Tax and optional Credit packs excluded.</x:t>
        </x:r>
      </x:text>
    </x:comment>
    <x:comment ref="C12" authorId="11">
      <x:text>
        <x:r>
          <x:t>[Threaded comment]
Your version of Excel allows you to read this threaded comment; however, any edits to it will get removed if the file is opened in a newer version of Excel. Learn more: https://go.microsoft.com/fwlink/?linkid=870924
Comment:
    Assumption: $0 other incremental annual cash costs identified in the supplied baseline/quote. Tax and optional Credit packs excluded.</x:t>
        </x:r>
      </x:text>
    </x:comment>
    <x:comment ref="D12" authorId="12">
      <x:text>
        <x:r>
          <x:t>[Threaded comment]
Your version of Excel allows you to read this threaded comment; however, any edits to it will get removed if the file is opened in a newer version of Excel. Learn more: https://go.microsoft.com/fwlink/?linkid=870924
Comment:
    Assumption: $0 other incremental annual cash costs identified in the supplied baseline/quote. Tax and optional Credit packs excluded.</x:t>
        </x:r>
      </x:text>
    </x:comment>
    <x:comment ref="B13" authorId="13">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8, one-time implementation $9,600.</x:t>
        </x:r>
      </x:text>
    </x:comment>
    <x:comment ref="B14" authorId="14">
      <x:text>
        <x:r>
          <x:t>[Threaded comment]
Your version of Excel allows you to read this threaded comment; however, any edits to it will get removed if the file is opened in a newer version of Excel. Learn more: https://go.microsoft.com/fwlink/?linkid=870924
Comment:
    Source: 04 Customer_Projects/AsterVale/02_Clarifications_and_Quote/AsterVale_Quote.xlsx | AV-Q-2026-041 v1.0; Quote / Scope and conditions | Quote row 22, 50% kickoff / 50% after acceptance.</x:t>
        </x:r>
      </x:text>
    </x:comment>
    <x:comment ref="B15" authorId="15">
      <x:text>
        <x:r>
          <x:t>[Threaded comment]
Your version of Excel allows you to read this threaded comment; however, any edits to it will get removed if the file is opened in a newer version of Excel. Learn more: https://go.microsoft.com/fwlink/?linkid=870924
Comment:
    Assumption: kickoff cash payment in model month 1, aligned to planned service start.</x:t>
        </x:r>
      </x:text>
    </x:comment>
    <x:comment ref="B16" authorId="16">
      <x:text>
        <x:r>
          <x:t>[Threaded comment]
Your version of Excel allows you to read this threaded comment; however, any edits to it will get removed if the file is opened in a newer version of Excel. Learn more: https://go.microsoft.com/fwlink/?linkid=870924
Comment:
    Assumption: model month 2 acceptance payment; the quote specifies a six-calendar-week delivery period but not an exact milestone date. 04 Customer_Projects/AsterVale/02_Clarifications_and_Quote/AsterVale_Quote.xlsx | AV-Q-2026-041 v1.0; Quote / Scope and conditions | Quote rows 8, 22.</x:t>
        </x:r>
      </x:text>
    </x:comment>
    <x:comment ref="B17" authorId="17">
      <x:text>
        <x:r>
          <x:t>[Threaded comment]
Your version of Excel allows you to read this threaded comment; however, any edits to it will get removed if the file is opened in a newer version of Excel. Learn more: https://go.microsoft.com/fwlink/?linkid=870924
Comment:
    Assumption: $0 other one-time incremental cash cost identified; keep staff time in the separate internal-capacity inputs.</x:t>
        </x:r>
      </x:text>
    </x:comment>
    <x:comment ref="B18" authorId="18">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one-time internal setup and configuration: 96 hours.</x:t>
        </x:r>
      </x:text>
    </x:comment>
    <x:comment ref="B19" authorId="19">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60 users × 3 hours each = 180 internal training hours.</x:t>
        </x:r>
      </x:text>
    </x:comment>
    <x:comment ref="B20" authorId="20">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Finance-confirmed $85 loaded cost/hour; allocation basis only, not bill rate or incremental cash.</x:t>
        </x:r>
      </x:text>
    </x:comment>
    <x:comment ref="B21" authorId="21">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ongoing administration 8 internal hours/month.</x:t>
        </x:r>
      </x:text>
    </x:comment>
    <x:comment ref="B22" authorId="22">
      <x:text>
        <x:r>
          <x:t>[Threaded comment]
Your version of Excel allows you to read this threaded comment; however, any edits to it will get removed if the file is opened in a newer version of Excel. Learn more: https://go.microsoft.com/fwlink/?linkid=870924
Comment:
    Assumption: 10% annual effective discount rate. No customer discount-rate input was provided.</x:t>
        </x:r>
      </x:text>
    </x:comment>
    <x:comment ref="B23" authorId="23">
      <x:text>
        <x:r>
          <x:t>[Threaded comment]
Your version of Excel allows you to read this threaded comment; however, any edits to it will get removed if the file is opened in a newer version of Excel. Learn more: https://go.microsoft.com/fwlink/?linkid=870924
Comment:
    Assumption: Year 2 and Year 3 start at 100% of steady-state adoption. Validate after pilot.</x:t>
        </x:r>
      </x:text>
    </x:comment>
    <x:comment ref="B24" authorId="24">
      <x:text>
        <x:r>
          <x:t>[Threaded comment]
Your version of Excel allows you to read this threaded comment; however, any edits to it will get removed if the file is opened in a newer version of Excel. Learn more: https://go.microsoft.com/fwlink/?linkid=870924
Comment:
    Model control: 1 selects Planning; 2 selects Conservative. Opening view is Planning.</x:t>
        </x:r>
      </x:text>
    </x:comment>
    <x:comment ref="B25" authorId="25">
      <x:text>
        <x:r>
          <x:t>[Threaded comment]
Your version of Excel allows you to read this threaded comment; however, any edits to it will get removed if the file is opened in a newer version of Excel. Learn more: https://go.microsoft.com/fwlink/?linkid=870924
Comment:
    Validation required: pilot results; quote issue/effective date; applicable tax; executed contract terms; renewal pricing.</x:t>
        </x:r>
      </x:text>
    </x:comment>
    <x:comment ref="B29" authorId="26">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35% reduction requested as initial planning assumption, unproven.</x:t>
        </x:r>
      </x:text>
    </x:comment>
    <x:comment ref="C29" authorId="27">
      <x:text>
        <x:r>
          <x:t>[Threaded comment]
Your version of Excel allows you to read this threaded comment; however, any edits to it will get removed if the file is opened in a newer version of Excel. Learn more: https://go.microsoft.com/fwlink/?linkid=870924
Comment:
    Assumption: 20% conservative sensitivity, not customer-confirmed or measured.</x:t>
        </x:r>
      </x:text>
    </x:comment>
    <x:comment ref="B30" authorId="28">
      <x:text>
        <x:r>
          <x:t>[Threaded comment]
Your version of Excel allows you to read this threaded comment; however, any edits to it will get removed if the file is opened in a newer version of Excel. Learn more: https://go.microsoft.com/fwlink/?linkid=870924
Comment:
    Source: 04 Customer_Projects/AsterVale/01_Procurement/AsterVale_Opportunity_Brief.md | Snapshot 2026-10-01, §6, workload and cost baseline | §6, 70% effective adoption requested as initial planning assumption, unproven.</x:t>
        </x:r>
      </x:text>
    </x:comment>
    <x:comment ref="C30" authorId="29">
      <x:text>
        <x:r>
          <x:t>[Threaded comment]
Your version of Excel allows you to read this threaded comment; however, any edits to it will get removed if the file is opened in a newer version of Excel. Learn more: https://go.microsoft.com/fwlink/?linkid=870924
Comment:
    Assumption: 50% conservative sensitivity, not customer-confirmed or measured.</x:t>
        </x:r>
      </x:text>
    </x:comment>
    <x:comment ref="B31" authorId="30">
      <x:text>
        <x:r>
          <x:t>[Threaded comment]
Your version of Excel allows you to read this threaded comment; however, any edits to it will get removed if the file is opened in a newer version of Excel. Learn more: https://go.microsoft.com/fwlink/?linkid=870924
Comment:
    Assumption: 100% of released hours receives productive alternative use for economic capacity valuation; this does not convert value to cash.</x:t>
        </x:r>
      </x:text>
    </x:comment>
    <x:comment ref="C31" authorId="31">
      <x:text>
        <x:r>
          <x:t>[Threaded comment]
Your version of Excel allows you to read this threaded comment; however, any edits to it will get removed if the file is opened in a newer version of Excel. Learn more: https://go.microsoft.com/fwlink/?linkid=870924
Comment:
    Assumption: 75% of released hours receives productive alternative use in conservative sensitivity; this does not convert value to cash.</x:t>
        </x:r>
      </x:text>
    </x:comment>
    <x:comment ref="B32" authorId="32">
      <x:text>
        <x:r>
          <x:t>[Threaded comment]
Your version of Excel allows you to read this threaded comment; however, any edits to it will get removed if the file is opened in a newer version of Excel. Learn more: https://go.microsoft.com/fwlink/?linkid=870924
Comment:
    Source check: 04 Customer_Projects/AsterVale/01_Procurement/AsterVale_Opportunity_Brief.md | Snapshot 2026-10-01, §6, workload and cost baseline | §6 states no headcount reduction is authorized. No other documented spend reduction supplied; $0 cash savings modeled.</x:t>
        </x:r>
      </x:text>
    </x:comment>
    <x:comment ref="C32" authorId="33">
      <x:text>
        <x:r>
          <x:t>[Threaded comment]
Your version of Excel allows you to read this threaded comment; however, any edits to it will get removed if the file is opened in a newer version of Excel. Learn more: https://go.microsoft.com/fwlink/?linkid=870924
Comment:
    Assumption: $0 evidenced cash savings; retain $0 until an actual spending reduction is documented.</x:t>
        </x:r>
      </x:text>
    </x:comment>
    <x:comment ref="B33" authorId="34">
      <x:text>
        <x:r>
          <x:t>[Threaded comment]
Your version of Excel allows you to read this threaded comment; however, any edits to it will get removed if the file is opened in a newer version of Excel. Learn more: https://go.microsoft.com/fwlink/?linkid=870924
Comment:
    Assumption: $0 overlap deduction because modeled cash savings are $0.</x:t>
        </x:r>
      </x:text>
    </x:comment>
    <x:comment ref="C33" authorId="35">
      <x:text>
        <x:r>
          <x:t>[Threaded comment]
Your version of Excel allows you to read this threaded comment; however, any edits to it will get removed if the file is opened in a newer version of Excel. Learn more: https://go.microsoft.com/fwlink/?linkid=870924
Comment:
    Assumption: $0 overlap deduction because modeled cash savings are $0.</x:t>
        </x:r>
      </x:text>
    </x:comment>
    <x:comment ref="B37" authorId="36">
      <x:text>
        <x:r>
          <x:t>[Threaded comment]
Your version of Excel allows you to read this threaded comment; however, any edits to it will get removed if the file is opened in a newer version of Excel. Learn more: https://go.microsoft.com/fwlink/?linkid=870924
Comment:
    Assumption: Year 1 month 1, no benefit during modeled six-week implementation period. Benefit begins in model month 3 (February 2027) after planned 1 Dec 2026 start; validate timing/ramp in pilot.</x:t>
        </x:r>
      </x:text>
    </x:comment>
    <x:comment ref="B38" authorId="37">
      <x:text>
        <x:r>
          <x:t>[Threaded comment]
Your version of Excel allows you to read this threaded comment; however, any edits to it will get removed if the file is opened in a newer version of Excel. Learn more: https://go.microsoft.com/fwlink/?linkid=870924
Comment:
    Assumption: Year 1 month 2, no benefit during modeled six-week implementation period. Benefit begins in model month 3 (February 2027) after planned 1 Dec 2026 start; validate timing/ramp in pilot.</x:t>
        </x:r>
      </x:text>
    </x:comment>
    <x:comment ref="B39" authorId="38">
      <x:text>
        <x:r>
          <x:t>[Threaded comment]
Your version of Excel allows you to read this threaded comment; however, any edits to it will get removed if the file is opened in a newer version of Excel. Learn more: https://go.microsoft.com/fwlink/?linkid=870924
Comment:
    Assumption: Year 1 month 3, 25% relative-to-steady-state adoption ramp. Benefit begins in model month 3 (February 2027) after planned 1 Dec 2026 start; validate timing/ramp in pilot.</x:t>
        </x:r>
      </x:text>
    </x:comment>
    <x:comment ref="B40" authorId="39">
      <x:text>
        <x:r>
          <x:t>[Threaded comment]
Your version of Excel allows you to read this threaded comment; however, any edits to it will get removed if the file is opened in a newer version of Excel. Learn more: https://go.microsoft.com/fwlink/?linkid=870924
Comment:
    Assumption: Year 1 month 4, 50% relative-to-steady-state adoption ramp. Benefit begins in model month 3 (February 2027) after planned 1 Dec 2026 start; validate timing/ramp in pilot.</x:t>
        </x:r>
      </x:text>
    </x:comment>
    <x:comment ref="B41" authorId="40">
      <x:text>
        <x:r>
          <x:t>[Threaded comment]
Your version of Excel allows you to read this threaded comment; however, any edits to it will get removed if the file is opened in a newer version of Excel. Learn more: https://go.microsoft.com/fwlink/?linkid=870924
Comment:
    Assumption: Year 1 month 5, 75% relative-to-steady-state adoption ramp. Benefit begins in model month 3 (February 2027) after planned 1 Dec 2026 start; validate timing/ramp in pilot.</x:t>
        </x:r>
      </x:text>
    </x:comment>
    <x:comment ref="B42" authorId="41">
      <x:text>
        <x:r>
          <x:t>[Threaded comment]
Your version of Excel allows you to read this threaded comment; however, any edits to it will get removed if the file is opened in a newer version of Excel. Learn more: https://go.microsoft.com/fwlink/?linkid=870924
Comment:
    Assumption: Year 1 month 6, 100% relative-to-steady-state adoption ramp. Benefit begins in model month 3 (February 2027) after planned 1 Dec 2026 start; validate timing/ramp in pilot.</x:t>
        </x:r>
      </x:text>
    </x:comment>
    <x:comment ref="B43" authorId="42">
      <x:text>
        <x:r>
          <x:t>[Threaded comment]
Your version of Excel allows you to read this threaded comment; however, any edits to it will get removed if the file is opened in a newer version of Excel. Learn more: https://go.microsoft.com/fwlink/?linkid=870924
Comment:
    Assumption: Year 1 month 7, 100% relative-to-steady-state adoption ramp. Benefit begins in model month 3 (February 2027) after planned 1 Dec 2026 start; validate timing/ramp in pilot.</x:t>
        </x:r>
      </x:text>
    </x:comment>
    <x:comment ref="B44" authorId="43">
      <x:text>
        <x:r>
          <x:t>[Threaded comment]
Your version of Excel allows you to read this threaded comment; however, any edits to it will get removed if the file is opened in a newer version of Excel. Learn more: https://go.microsoft.com/fwlink/?linkid=870924
Comment:
    Assumption: Year 1 month 8, 100% relative-to-steady-state adoption ramp. Benefit begins in model month 3 (February 2027) after planned 1 Dec 2026 start; validate timing/ramp in pilot.</x:t>
        </x:r>
      </x:text>
    </x:comment>
    <x:comment ref="B45" authorId="44">
      <x:text>
        <x:r>
          <x:t>[Threaded comment]
Your version of Excel allows you to read this threaded comment; however, any edits to it will get removed if the file is opened in a newer version of Excel. Learn more: https://go.microsoft.com/fwlink/?linkid=870924
Comment:
    Assumption: Year 1 month 9, 100% relative-to-steady-state adoption ramp. Benefit begins in model month 3 (February 2027) after planned 1 Dec 2026 start; validate timing/ramp in pilot.</x:t>
        </x:r>
      </x:text>
    </x:comment>
    <x:comment ref="B46" authorId="45">
      <x:text>
        <x:r>
          <x:t>[Threaded comment]
Your version of Excel allows you to read this threaded comment; however, any edits to it will get removed if the file is opened in a newer version of Excel. Learn more: https://go.microsoft.com/fwlink/?linkid=870924
Comment:
    Assumption: Year 1 month 10, 100% relative-to-steady-state adoption ramp. Benefit begins in model month 3 (February 2027) after planned 1 Dec 2026 start; validate timing/ramp in pilot.</x:t>
        </x:r>
      </x:text>
    </x:comment>
    <x:comment ref="B47" authorId="46">
      <x:text>
        <x:r>
          <x:t>[Threaded comment]
Your version of Excel allows you to read this threaded comment; however, any edits to it will get removed if the file is opened in a newer version of Excel. Learn more: https://go.microsoft.com/fwlink/?linkid=870924
Comment:
    Assumption: Year 1 month 11, 100% relative-to-steady-state adoption ramp. Benefit begins in model month 3 (February 2027) after planned 1 Dec 2026 start; validate timing/ramp in pilot.</x:t>
        </x:r>
      </x:text>
    </x:comment>
    <x:comment ref="B48" authorId="47">
      <x:text>
        <x:r>
          <x:t>[Threaded comment]
Your version of Excel allows you to read this threaded comment; however, any edits to it will get removed if the file is opened in a newer version of Excel. Learn more: https://go.microsoft.com/fwlink/?linkid=870924
Comment:
    Assumption: Year 1 month 12, 100% relative-to-steady-state adoption ramp. Benefit begins in model month 3 (February 2027) after planned 1 Dec 2026 start; validate timing/ramp in pilot.</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dd mmm yyyy"/>
    <x:numFmt numFmtId="201" formatCode="#,##0;(#,##0);&quot;–&quot;"/>
    <x:numFmt numFmtId="202" formatCode="0.0%;(0.0%);&quot;–&quot;"/>
    <x:numFmt numFmtId="203" formatCode="mmm-yy"/>
    <x:numFmt numFmtId="204" formatCode="#,##0.0;(#,##0.0);&quot;–&quot;"/>
    <x:numFmt numFmtId="205" formatCode="$#,##0;[Red]($#,##0);-"/>
    <x:numFmt numFmtId="206" formatCode="0.0%"/>
    <x:numFmt numFmtId="207" formatCode="#,##0.0"/>
    <x:numFmt numFmtId="208" formatCode="$#,##0.00;[Red]($#,##0.00);-"/>
    <x:numFmt numFmtId="209" formatCode="#,##0.0;[Red](#,##0.0);-"/>
    <x:numFmt numFmtId="210" formatCode="&quot;$&quot;#,##0;(&quot;$&quot;#,##0);&quot;$&quot;0"/>
  </x:numFmts>
  <x:fonts count="31">
    <x:font>
      <x:sz val="11"/>
      <x:name val="Carlito"/>
    </x:font>
    <x:font>
      <x:sz val="11"/>
      <x:color rgb="FF172334"/>
      <x:name val="Arial"/>
    </x:font>
    <x:font>
      <x:b/>
      <x:sz val="17"/>
      <x:color rgb="FF172334"/>
      <x:name val="Arial"/>
    </x:font>
    <x:font>
      <x:b/>
      <x:sz val="11"/>
      <x:color rgb="FFFFFFFF"/>
      <x:name val="Arial"/>
    </x:font>
    <x:font>
      <x:sz val="11"/>
      <x:color rgb="FF154BBA"/>
      <x:name val="Arial"/>
    </x:font>
    <x:font>
      <x:b/>
      <x:sz val="11"/>
      <x:color rgb="FF172334"/>
      <x:name val="Arial"/>
    </x:font>
    <x:font>
      <x:sz val="11"/>
      <x:color rgb="FF00804B"/>
      <x:name val="Arial"/>
    </x:font>
    <x:font>
      <x:sz val="10"/>
      <x:color rgb="FF243746"/>
      <x:name val="Arial"/>
    </x:font>
    <x:font>
      <x:b/>
      <x:sz val="10"/>
      <x:color rgb="FF243746"/>
      <x:name val="Arial"/>
    </x:font>
    <x:font>
      <x:b/>
      <x:sz val="17"/>
      <x:color rgb="FF183B56"/>
      <x:name val="Arial"/>
    </x:font>
    <x:font>
      <x:sz val="9"/>
      <x:color rgb="FF526779"/>
      <x:name val="Arial"/>
    </x:font>
    <x:font>
      <x:b/>
      <x:sz val="10"/>
      <x:color rgb="FFFFFFFF"/>
      <x:name val="Arial"/>
    </x:font>
    <x:font>
      <x:b/>
      <x:sz val="13"/>
      <x:color rgb="FF183B56"/>
      <x:name val="Arial"/>
    </x:font>
    <x:font>
      <x:b/>
      <x:sz val="9"/>
      <x:color rgb="FF526779"/>
      <x:name val="Arial"/>
    </x:font>
    <x:font>
      <x:b/>
      <x:sz val="10"/>
      <x:color rgb="FF1F4E79"/>
      <x:name val="Arial"/>
    </x:font>
    <x:font>
      <x:sz val="10"/>
      <x:color rgb="FF1F4E79"/>
      <x:name val="Arial"/>
    </x:font>
    <x:font>
      <x:b/>
      <x:sz val="10"/>
      <x:color rgb="FF183B56"/>
      <x:name val="Arial"/>
    </x:font>
    <x:font>
      <x:b/>
      <x:sz val="16"/>
      <x:color rgb="FFFFFFFF"/>
      <x:name val="Carlito"/>
    </x:font>
    <x:font>
      <x:i/>
      <x:sz val="10"/>
      <x:color rgb="FF52677C"/>
      <x:name val="Carlito"/>
    </x:font>
    <x:font>
      <x:b/>
      <x:sz val="11"/>
      <x:color rgb="FF173A56"/>
      <x:name val="Carlito"/>
    </x:font>
    <x:font>
      <x:b/>
      <x:sz val="11"/>
      <x:color rgb="FFFFFFFF"/>
      <x:name val="Carlito"/>
    </x:font>
    <x:font>
      <x:b/>
      <x:sz val="11"/>
      <x:color rgb="FF087A61"/>
      <x:name val="Carlito"/>
    </x:font>
    <x:font>
      <x:sz val="10"/>
      <x:color rgb="FF0000FF"/>
      <x:name val="Arial"/>
    </x:font>
    <x:font>
      <x:sz val="11"/>
      <x:color rgb="FF172B43"/>
      <x:name val="Arial"/>
    </x:font>
    <x:font>
      <x:sz val="11"/>
      <x:color rgb="FF172B43"/>
      <x:name val="Aptos"/>
    </x:font>
    <x:font>
      <x:b/>
      <x:sz val="12"/>
      <x:color rgb="FFFFFFFF"/>
      <x:name val="Aptos"/>
    </x:font>
    <x:font>
      <x:sz val="11"/>
      <x:color rgb="FF263D4C"/>
      <x:name val="Aptos"/>
    </x:font>
    <x:font>
      <x:b/>
      <x:sz val="11"/>
      <x:color rgb="FF263D4C"/>
      <x:name val="Aptos"/>
    </x:font>
    <x:font>
      <x:sz val="10"/>
      <x:color rgb="FF516A7D"/>
      <x:name val="Aptos"/>
    </x:font>
    <x:font>
      <x:b/>
      <x:sz val="11"/>
      <x:color rgb="FF193C54"/>
      <x:name val="Aptos"/>
    </x:font>
    <x:font>
      <x:b/>
      <x:sz val="11"/>
      <x:color rgb="FF8F4325"/>
      <x:name val="Aptos"/>
    </x:font>
  </x:fonts>
  <x:fills count="20">
    <x:fill>
      <x:patternFill patternType="none"/>
    </x:fill>
    <x:fill>
      <x:patternFill patternType="gray125"/>
    </x:fill>
    <x:fill>
      <x:patternFill patternType="solid">
        <x:fgColor rgb="FF173851"/>
      </x:patternFill>
    </x:fill>
    <x:fill>
      <x:patternFill patternType="solid">
        <x:fgColor rgb="FFFFF3D1"/>
      </x:patternFill>
    </x:fill>
    <x:fill>
      <x:patternFill patternType="solid">
        <x:fgColor rgb="FFFFFFFF"/>
      </x:patternFill>
    </x:fill>
    <x:fill>
      <x:patternFill patternType="solid">
        <x:fgColor rgb="FF183B56"/>
      </x:patternFill>
    </x:fill>
    <x:fill>
      <x:patternFill patternType="solid">
        <x:fgColor rgb="FFF4F7FA"/>
      </x:patternFill>
    </x:fill>
    <x:fill>
      <x:patternFill patternType="solid">
        <x:fgColor rgb="FFE7EFF5"/>
      </x:patternFill>
    </x:fill>
    <x:fill>
      <x:patternFill patternType="solid">
        <x:fgColor rgb="FF236568"/>
      </x:patternFill>
    </x:fill>
    <x:fill>
      <x:patternFill patternType="solid">
        <x:fgColor rgb="FFFFF3D1"/>
      </x:patternFill>
    </x:fill>
    <x:fill>
      <x:patternFill patternType="solid">
        <x:fgColor rgb="FF173A56"/>
      </x:patternFill>
    </x:fill>
    <x:fill>
      <x:patternFill patternType="solid">
        <x:fgColor rgb="FFDCE8EF"/>
      </x:patternFill>
    </x:fill>
    <x:fill>
      <x:patternFill patternType="solid">
        <x:fgColor rgb="FFE7F0F3"/>
      </x:patternFill>
    </x:fill>
    <x:fill>
      <x:patternFill patternType="solid">
        <x:fgColor rgb="FFEFF4F8"/>
      </x:patternFill>
    </x:fill>
    <x:fill>
      <x:patternFill patternType="solid">
        <x:fgColor rgb="FF193C54"/>
      </x:patternFill>
    </x:fill>
    <x:fill>
      <x:patternFill patternType="solid">
        <x:fgColor rgb="FFF3F6FA"/>
      </x:patternFill>
    </x:fill>
    <x:fill>
      <x:patternFill patternType="solid">
        <x:fgColor rgb="FFFFFFFF"/>
      </x:patternFill>
    </x:fill>
    <x:fill>
      <x:patternFill patternType="solid">
        <x:fgColor rgb="FFE6EFF4"/>
      </x:patternFill>
    </x:fill>
    <x:fill>
      <x:patternFill patternType="solid">
        <x:fgColor rgb="FFFFF0E8"/>
      </x:patternFill>
    </x:fill>
    <x:fill>
      <x:patternFill patternType="solid">
        <x:fgColor rgb="FFFFF3CF"/>
      </x:patternFill>
    </x:fill>
  </x:fills>
  <x:borders count="14">
    <x:border/>
    <x:border diagonalUp="0" diagonalDown="0">
      <x:left style="none"/>
      <x:top style="none"/>
    </x:border>
    <x:border diagonalUp="0" diagonalDown="0">
      <x:top style="none"/>
    </x:border>
    <x:border diagonalUp="0" diagonalDown="0">
      <x:right style="none"/>
      <x:top style="none"/>
    </x:border>
    <x:border diagonalUp="0" diagonalDown="0">
      <x:left style="none"/>
    </x:border>
    <x:border diagonalUp="0" diagonalDown="0">
      <x:right style="none"/>
    </x:border>
    <x:border diagonalUp="0" diagonalDown="0">
      <x:left style="none"/>
      <x:bottom style="none"/>
    </x:border>
    <x:border diagonalUp="0" diagonalDown="0">
      <x:bottom style="none"/>
    </x:border>
    <x:border diagonalUp="0" diagonalDown="0">
      <x:right style="none"/>
      <x:bottom style="none"/>
    </x:border>
    <x:border diagonalUp="0" diagonalDown="0">
      <x:left style="thin">
        <x:color rgb="FFDDDCCF"/>
      </x:left>
      <x:right style="thin">
        <x:color rgb="FFDDDCCF"/>
      </x:right>
      <x:top style="thin">
        <x:color rgb="FFDDDCCF"/>
      </x:top>
      <x:bottom style="thin">
        <x:color rgb="FFDDDCCF"/>
      </x:bottom>
    </x:border>
    <x:border>
      <x:left style="thin">
        <x:color rgb="FFDDDCCF"/>
      </x:left>
      <x:right style="thin">
        <x:color rgb="FFDDDCCF"/>
      </x:right>
      <x:top style="thin">
        <x:color rgb="FFDDDCCF"/>
      </x:top>
      <x:bottom style="thin">
        <x:color rgb="FFDDDCCF"/>
      </x:bottom>
    </x:border>
    <x:border>
      <x:bottom style="thin">
        <x:color rgb="FFD7E0E7"/>
      </x:bottom>
    </x:border>
    <x:border>
      <x:top style="thin">
        <x:color rgb="FFD7E0E7"/>
      </x:top>
      <x:bottom style="thin">
        <x:color rgb="FFD7E0E7"/>
      </x:bottom>
    </x:border>
    <x:border>
      <x:top style="thin">
        <x:color rgb="FFD7E0E7"/>
      </x:top>
    </x:border>
  </x:borders>
  <x:cellStyleXfs count="1">
    <x:xf numFmtId="0" fontId="0" fillId="0" borderId="0"/>
  </x:cellStyleXfs>
  <x:cellXfs count="334">
    <x:xf numFmtId="0" fontId="0" fillId="0" borderId="0" xfId="0"/>
    <x:xf numFmtId="0" fontId="1" fillId="0" borderId="0" xfId="0" applyNumberFormat="1" applyFont="1" applyFill="1" applyBorder="1"/>
    <x:xf numFmtId="0" fontId="2" fillId="0" borderId="0" xfId="0" applyNumberFormat="1" applyFont="1" applyFill="1" applyBorder="1"/>
    <x:xf numFmtId="0" fontId="1"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1" fillId="0" borderId="0" xfId="0" applyNumberFormat="1" applyFont="1" applyFill="1" applyBorder="1" applyAlignment="1">
      <x:alignment wrapText="1"/>
    </x:xf>
    <x:xf numFmtId="0" fontId="1" fillId="3" borderId="0" xfId="0" applyNumberFormat="1" applyFont="1" applyFill="1" applyBorder="1" applyAlignment="1">
      <x:alignment wrapText="1"/>
    </x:xf>
    <x:xf numFmtId="0" fontId="4" fillId="3" borderId="0" xfId="0" applyNumberFormat="1" applyFont="1" applyFill="1" applyBorder="1" applyAlignment="1">
      <x:alignment wrapText="1"/>
    </x:xf>
    <x:xf numFmtId="200" fontId="4" fillId="3" borderId="0" xfId="0" applyNumberFormat="1" applyFont="1" applyFill="1" applyBorder="1" applyAlignment="1">
      <x:alignment wrapText="1"/>
    </x:xf>
    <x:xf numFmtId="201" fontId="4" fillId="3" borderId="0" xfId="0" applyNumberFormat="1" applyFont="1" applyFill="1" applyBorder="1" applyAlignment="1">
      <x:alignment wrapText="1"/>
    </x:xf>
    <x:xf numFmtId="201" fontId="1" fillId="0" borderId="0" xfId="0" applyNumberFormat="1" applyFont="1" applyFill="1" applyBorder="1" applyAlignment="1">
      <x:alignment wrapText="1"/>
    </x:xf>
    <x:xf numFmtId="202" fontId="4" fillId="3" borderId="0" xfId="0" applyNumberFormat="1" applyFont="1" applyFill="1" applyBorder="1" applyAlignment="1">
      <x:alignment wrapText="1"/>
    </x:xf>
    <x:xf numFmtId="202" fontId="1" fillId="0" borderId="0" xfId="0" applyNumberFormat="1" applyFont="1" applyFill="1" applyBorder="1" applyAlignment="1">
      <x:alignment wrapText="1"/>
    </x:xf>
    <x:xf numFmtId="0" fontId="5" fillId="0" borderId="0" xfId="0" applyNumberFormat="1" applyFont="1" applyFill="1" applyBorder="1"/>
    <x:xf numFmtId="201" fontId="1" fillId="0" borderId="0" xfId="0" applyNumberFormat="1" applyFont="1" applyFill="1" applyBorder="1"/>
    <x:xf numFmtId="201" fontId="6" fillId="0" borderId="0" xfId="0" applyNumberFormat="1" applyFont="1" applyFill="1" applyBorder="1" applyAlignment="1">
      <x:alignment wrapText="1"/>
    </x:xf>
    <x:xf numFmtId="203" fontId="1" fillId="0" borderId="0" xfId="0" applyNumberFormat="1" applyFont="1" applyFill="1" applyBorder="1" applyAlignment="1">
      <x:alignment wrapText="1"/>
    </x:xf>
    <x:xf numFmtId="203" fontId="6" fillId="0" borderId="0" xfId="0" applyNumberFormat="1" applyFont="1" applyFill="1" applyBorder="1" applyAlignment="1">
      <x:alignment wrapText="1"/>
    </x:xf>
    <x:xf numFmtId="202" fontId="6" fillId="0" borderId="0" xfId="0" applyNumberFormat="1" applyFont="1" applyFill="1" applyBorder="1" applyAlignment="1">
      <x:alignment wrapText="1"/>
    </x:xf>
    <x:xf numFmtId="204" fontId="1" fillId="0" borderId="0" xfId="0" applyNumberFormat="1" applyFont="1" applyFill="1" applyBorder="1" applyAlignment="1">
      <x:alignment wrapText="1"/>
    </x:xf>
    <x:xf numFmtId="204" fontId="6" fillId="0" borderId="0" xfId="0" applyNumberFormat="1" applyFont="1" applyFill="1" applyBorder="1" applyAlignment="1">
      <x:alignment wrapText="1"/>
    </x:xf>
    <x:xf numFmtId="204" fontId="1" fillId="0" borderId="0" xfId="0" applyNumberFormat="1" applyFont="1" applyFill="1" applyBorder="1"/>
    <x:xf numFmtId="0" fontId="6" fillId="0" borderId="0" xfId="0" applyNumberFormat="1" applyFont="1" applyFill="1" applyBorder="1" applyAlignment="1">
      <x:alignment wrapText="1"/>
    </x:xf>
    <x:xf numFmtId="0" fontId="7" fillId="0" borderId="0" xfId="0" applyNumberFormat="1" applyFont="1" applyFill="1" applyBorder="1"/>
    <x:xf numFmtId="0" fontId="8" fillId="0" borderId="0" xfId="0" applyNumberFormat="1" applyFont="1" applyFill="1" applyBorder="1"/>
    <x:xf numFmtId="0" fontId="8" fillId="2" borderId="0" xfId="0" applyNumberFormat="1" applyFont="1" applyFill="1" applyBorder="1" applyAlignment="1">
      <x:alignment wrapText="1"/>
    </x:xf>
    <x:xf numFmtId="0" fontId="7" fillId="0" borderId="0" xfId="0" applyNumberFormat="1" applyFont="1" applyFill="1" applyBorder="1" applyAlignment="1">
      <x:alignment wrapText="1"/>
    </x:xf>
    <x:xf numFmtId="204" fontId="7" fillId="0" borderId="0" xfId="0" applyNumberFormat="1" applyFont="1" applyFill="1" applyBorder="1" applyAlignment="1">
      <x:alignment wrapText="1"/>
    </x:xf>
    <x:xf numFmtId="201" fontId="7" fillId="0" borderId="0" xfId="0" applyNumberFormat="1" applyFont="1" applyFill="1" applyBorder="1" applyAlignment="1">
      <x:alignment wrapText="1"/>
    </x:xf>
    <x:xf numFmtId="202" fontId="7" fillId="0" borderId="0" xfId="0" applyNumberFormat="1" applyFont="1" applyFill="1" applyBorder="1" applyAlignment="1">
      <x:alignment wrapText="1"/>
    </x:xf>
    <x:xf numFmtId="0" fontId="7" fillId="4" borderId="0" xfId="0" applyNumberFormat="1" applyFont="1" applyFill="1" applyBorder="1"/>
    <x:xf numFmtId="0" fontId="8" fillId="4" borderId="0" xfId="0" applyNumberFormat="1" applyFont="1" applyFill="1" applyBorder="1"/>
    <x:xf numFmtId="0" fontId="8" fillId="4" borderId="0" xfId="0" applyNumberFormat="1" applyFont="1" applyFill="1" applyBorder="1" applyAlignment="1">
      <x:alignment wrapText="1"/>
    </x:xf>
    <x:xf numFmtId="0" fontId="7" fillId="4" borderId="0" xfId="0" applyNumberFormat="1" applyFont="1" applyFill="1" applyBorder="1" applyAlignment="1">
      <x:alignment wrapText="1"/>
    </x:xf>
    <x:xf numFmtId="204" fontId="7" fillId="4" borderId="0" xfId="0" applyNumberFormat="1" applyFont="1" applyFill="1" applyBorder="1" applyAlignment="1">
      <x:alignment wrapText="1"/>
    </x:xf>
    <x:xf numFmtId="201" fontId="7" fillId="4" borderId="0" xfId="0" applyNumberFormat="1" applyFont="1" applyFill="1" applyBorder="1" applyAlignment="1">
      <x:alignment wrapText="1"/>
    </x:xf>
    <x:xf numFmtId="202" fontId="7" fillId="4" borderId="0" xfId="0" applyNumberFormat="1" applyFont="1" applyFill="1" applyBorder="1" applyAlignment="1">
      <x:alignment wrapText="1"/>
    </x:xf>
    <x:xf numFmtId="0" fontId="7" fillId="4" borderId="1" xfId="0" applyNumberFormat="1" applyFont="1" applyFill="1" applyBorder="1"/>
    <x:xf numFmtId="0" fontId="7" fillId="4" borderId="2" xfId="0" applyNumberFormat="1" applyFont="1" applyFill="1" applyBorder="1"/>
    <x:xf numFmtId="0" fontId="7" fillId="4" borderId="3" xfId="0" applyNumberFormat="1" applyFont="1" applyFill="1" applyBorder="1"/>
    <x:xf numFmtId="0" fontId="8" fillId="4" borderId="4" xfId="0" applyNumberFormat="1" applyFont="1" applyFill="1" applyBorder="1"/>
    <x:xf numFmtId="0" fontId="7" fillId="4" xfId="0" applyNumberFormat="1" applyFont="1" applyFill="1" applyBorder="0"/>
    <x:xf numFmtId="0" fontId="7" fillId="4" borderId="5" xfId="0" applyNumberFormat="1" applyFont="1" applyFill="1" applyBorder="1"/>
    <x:xf numFmtId="0" fontId="7" fillId="4" borderId="4" xfId="0" applyNumberFormat="1" applyFont="1" applyFill="1" applyBorder="1"/>
    <x:xf numFmtId="0" fontId="8" fillId="4" borderId="4" xfId="0" applyNumberFormat="1" applyFont="1" applyFill="1" applyBorder="1" applyAlignment="1">
      <x:alignment wrapText="1"/>
    </x:xf>
    <x:xf numFmtId="0" fontId="8" fillId="4" xfId="0" applyNumberFormat="1" applyFont="1" applyFill="1" applyBorder="0" applyAlignment="1">
      <x:alignment wrapText="1"/>
    </x:xf>
    <x:xf numFmtId="0" fontId="8" fillId="4" borderId="5" xfId="0" applyNumberFormat="1" applyFont="1" applyFill="1" applyBorder="1" applyAlignment="1">
      <x:alignment wrapText="1"/>
    </x:xf>
    <x:xf numFmtId="0" fontId="7" fillId="4" borderId="4" xfId="0" applyNumberFormat="1" applyFont="1" applyFill="1" applyBorder="1" applyAlignment="1">
      <x:alignment wrapText="1"/>
    </x:xf>
    <x:xf numFmtId="204" fontId="7" fillId="4" xfId="0" applyNumberFormat="1" applyFont="1" applyFill="1" applyBorder="0" applyAlignment="1">
      <x:alignment wrapText="1"/>
    </x:xf>
    <x:xf numFmtId="0" fontId="7" fillId="4" borderId="5" xfId="0" applyNumberFormat="1" applyFont="1" applyFill="1" applyBorder="1" applyAlignment="1">
      <x:alignment wrapText="1"/>
    </x:xf>
    <x:xf numFmtId="201" fontId="7" fillId="4" xfId="0" applyNumberFormat="1" applyFont="1" applyFill="1" applyBorder="0" applyAlignment="1">
      <x:alignment wrapText="1"/>
    </x:xf>
    <x:xf numFmtId="202" fontId="7" fillId="4" xfId="0" applyNumberFormat="1" applyFont="1" applyFill="1" applyBorder="0" applyAlignment="1">
      <x:alignment wrapText="1"/>
    </x:xf>
    <x:xf numFmtId="0" fontId="7" fillId="4" xfId="0" applyNumberFormat="1" applyFont="1" applyFill="1" applyBorder="0" applyAlignment="1">
      <x:alignment wrapText="1"/>
    </x:xf>
    <x:xf numFmtId="0" fontId="7" fillId="4" borderId="6" xfId="0" applyNumberFormat="1" applyFont="1" applyFill="1" applyBorder="1"/>
    <x:xf numFmtId="0" fontId="7" fillId="4" borderId="7" xfId="0" applyNumberFormat="1" applyFont="1" applyFill="1" applyBorder="1"/>
    <x:xf numFmtId="0" fontId="7" fillId="4" borderId="8" xfId="0" applyNumberFormat="1" applyFont="1" applyFill="1" applyBorder="1"/>
    <x:xf numFmtId="0" fontId="7" fillId="4" borderId="1" xfId="0" applyNumberFormat="1" applyFont="1" applyFill="1" applyBorder="1" applyAlignment="1">
      <x:alignment vertical="center"/>
    </x:xf>
    <x:xf numFmtId="0" fontId="7" fillId="4" borderId="2" xfId="0" applyNumberFormat="1" applyFont="1" applyFill="1" applyBorder="1" applyAlignment="1">
      <x:alignment vertical="center"/>
    </x:xf>
    <x:xf numFmtId="0" fontId="7" fillId="4" borderId="3" xfId="0" applyNumberFormat="1" applyFont="1" applyFill="1" applyBorder="1" applyAlignment="1">
      <x:alignment vertical="center"/>
    </x:xf>
    <x:xf numFmtId="0" fontId="8" fillId="4" borderId="4" xfId="0" applyNumberFormat="1" applyFont="1" applyFill="1" applyBorder="1" applyAlignment="1">
      <x:alignment vertical="center"/>
    </x:xf>
    <x:xf numFmtId="0" fontId="7" fillId="4" xfId="0" applyNumberFormat="1" applyFont="1" applyFill="1" applyBorder="0" applyAlignment="1">
      <x:alignment vertical="center"/>
    </x:xf>
    <x:xf numFmtId="0" fontId="7" fillId="4" borderId="5" xfId="0" applyNumberFormat="1" applyFont="1" applyFill="1" applyBorder="1" applyAlignment="1">
      <x:alignment vertical="center"/>
    </x:xf>
    <x:xf numFmtId="0" fontId="7" fillId="4" borderId="4" xfId="0" applyNumberFormat="1" applyFont="1" applyFill="1" applyBorder="1" applyAlignment="1">
      <x:alignment vertical="center"/>
    </x:xf>
    <x:xf numFmtId="0" fontId="8" fillId="4" borderId="4" xfId="0" applyNumberFormat="1" applyFont="1" applyFill="1" applyBorder="1" applyAlignment="1">
      <x:alignment vertical="center" wrapText="1"/>
    </x:xf>
    <x:xf numFmtId="0" fontId="8" fillId="4" xfId="0" applyNumberFormat="1" applyFont="1" applyFill="1" applyBorder="0" applyAlignment="1">
      <x:alignment vertical="center" wrapText="1"/>
    </x:xf>
    <x:xf numFmtId="0" fontId="8" fillId="4" borderId="5" xfId="0" applyNumberFormat="1" applyFont="1" applyFill="1" applyBorder="1" applyAlignment="1">
      <x:alignment vertical="center" wrapText="1"/>
    </x:xf>
    <x:xf numFmtId="0" fontId="7" fillId="4" borderId="4" xfId="0" applyNumberFormat="1" applyFont="1" applyFill="1" applyBorder="1" applyAlignment="1">
      <x:alignment vertical="center" wrapText="1"/>
    </x:xf>
    <x:xf numFmtId="204" fontId="7" fillId="4" xfId="0" applyNumberFormat="1" applyFont="1" applyFill="1" applyBorder="0" applyAlignment="1">
      <x:alignment vertical="center" wrapText="1"/>
    </x:xf>
    <x:xf numFmtId="0" fontId="7" fillId="4" borderId="5" xfId="0" applyNumberFormat="1" applyFont="1" applyFill="1" applyBorder="1" applyAlignment="1">
      <x:alignment vertical="center" wrapText="1"/>
    </x:xf>
    <x:xf numFmtId="201" fontId="7" fillId="4" xfId="0" applyNumberFormat="1" applyFont="1" applyFill="1" applyBorder="0" applyAlignment="1">
      <x:alignment vertical="center" wrapText="1"/>
    </x:xf>
    <x:xf numFmtId="202" fontId="7" fillId="4" xfId="0" applyNumberFormat="1" applyFont="1" applyFill="1" applyBorder="0" applyAlignment="1">
      <x:alignment vertical="center" wrapText="1"/>
    </x:xf>
    <x:xf numFmtId="0" fontId="7" fillId="4" xfId="0" applyNumberFormat="1" applyFont="1" applyFill="1" applyBorder="0" applyAlignment="1">
      <x:alignment vertical="center" wrapText="1"/>
    </x:xf>
    <x:xf numFmtId="0" fontId="7" fillId="4" borderId="6" xfId="0" applyNumberFormat="1" applyFont="1" applyFill="1" applyBorder="1" applyAlignment="1">
      <x:alignment vertical="center"/>
    </x:xf>
    <x:xf numFmtId="0" fontId="7" fillId="4" borderId="7" xfId="0" applyNumberFormat="1" applyFont="1" applyFill="1" applyBorder="1" applyAlignment="1">
      <x:alignment vertical="center"/>
    </x:xf>
    <x:xf numFmtId="0" fontId="7" fillId="4" borderId="8" xfId="0" applyNumberFormat="1" applyFont="1" applyFill="1" applyBorder="1" applyAlignment="1">
      <x:alignment vertical="center"/>
    </x:xf>
    <x:xf numFmtId="0" fontId="7" fillId="4" borderId="1" xfId="0" applyNumberFormat="1" applyFont="1" applyFill="1" applyBorder="1" applyAlignment="1">
      <x:alignment vertical="center" wrapText="1"/>
    </x:xf>
    <x:xf numFmtId="0" fontId="7" fillId="4" borderId="2" xfId="0" applyNumberFormat="1" applyFont="1" applyFill="1" applyBorder="1" applyAlignment="1">
      <x:alignment vertical="center" wrapText="1"/>
    </x:xf>
    <x:xf numFmtId="0" fontId="7" fillId="4" borderId="3" xfId="0" applyNumberFormat="1" applyFont="1" applyFill="1" applyBorder="1" applyAlignment="1">
      <x:alignment vertical="center" wrapText="1"/>
    </x:xf>
    <x:xf numFmtId="0" fontId="7" fillId="4" borderId="6" xfId="0" applyNumberFormat="1" applyFont="1" applyFill="1" applyBorder="1" applyAlignment="1">
      <x:alignment vertical="center" wrapText="1"/>
    </x:xf>
    <x:xf numFmtId="0" fontId="7" fillId="4" borderId="7" xfId="0" applyNumberFormat="1" applyFont="1" applyFill="1" applyBorder="1" applyAlignment="1">
      <x:alignment vertical="center" wrapText="1"/>
    </x:xf>
    <x:xf numFmtId="0" fontId="7" fillId="4" borderId="8" xfId="0" applyNumberFormat="1" applyFont="1" applyFill="1" applyBorder="1" applyAlignment="1">
      <x:alignment vertical="center" wrapText="1"/>
    </x:xf>
    <x:xf numFmtId="0" fontId="9" fillId="4" borderId="4" xfId="0" applyNumberFormat="1" applyFont="1" applyFill="1" applyBorder="1" applyAlignment="1">
      <x:alignment vertical="center" wrapText="1"/>
    </x:xf>
    <x:xf numFmtId="0" fontId="10" fillId="4" borderId="4" xfId="0" applyNumberFormat="1" applyFont="1" applyFill="1" applyBorder="1" applyAlignment="1">
      <x:alignment vertical="center" wrapText="1"/>
    </x:xf>
    <x:xf numFmtId="0" fontId="8" fillId="5" borderId="4" xfId="0" applyNumberFormat="1" applyFont="1" applyFill="1" applyBorder="1" applyAlignment="1">
      <x:alignment vertical="center" wrapText="1"/>
    </x:xf>
    <x:xf numFmtId="0" fontId="8" fillId="5" xfId="0" applyNumberFormat="1" applyFont="1" applyFill="1" applyBorder="0" applyAlignment="1">
      <x:alignment vertical="center" wrapText="1"/>
    </x:xf>
    <x:xf numFmtId="0" fontId="8" fillId="5" borderId="5" xfId="0" applyNumberFormat="1" applyFont="1" applyFill="1" applyBorder="1" applyAlignment="1">
      <x:alignment vertical="center" wrapText="1"/>
    </x:xf>
    <x:xf numFmtId="0" fontId="11" fillId="5" borderId="4" xfId="0" applyNumberFormat="1" applyFont="1" applyFill="1" applyBorder="1" applyAlignment="1">
      <x:alignment vertical="center" wrapText="1"/>
    </x:xf>
    <x:xf numFmtId="0" fontId="11" fillId="5" xfId="0" applyNumberFormat="1" applyFont="1" applyFill="1" applyBorder="0" applyAlignment="1">
      <x:alignment vertical="center" wrapText="1"/>
    </x:xf>
    <x:xf numFmtId="0" fontId="11" fillId="5" borderId="5" xfId="0" applyNumberFormat="1" applyFont="1" applyFill="1" applyBorder="1" applyAlignment="1">
      <x:alignment vertical="center" wrapText="1"/>
    </x:xf>
    <x:xf numFmtId="0" fontId="11" fillId="5" borderId="4" xfId="0" applyNumberFormat="1" applyFont="1" applyFill="1" applyBorder="1" applyAlignment="1">
      <x:alignment horizontal="left" vertical="center" wrapText="1"/>
    </x:xf>
    <x:xf numFmtId="0" fontId="11" fillId="5" xfId="0" applyNumberFormat="1" applyFont="1" applyFill="1" applyBorder="0" applyAlignment="1">
      <x:alignment horizontal="left" vertical="center" wrapText="1"/>
    </x:xf>
    <x:xf numFmtId="0" fontId="11" fillId="5" borderId="5" xfId="0" applyNumberFormat="1" applyFont="1" applyFill="1" applyBorder="1" applyAlignment="1">
      <x:alignment horizontal="left" vertical="center" wrapText="1"/>
    </x:xf>
    <x:xf numFmtId="0" fontId="7" fillId="6" borderId="4" xfId="0" applyNumberFormat="1" applyFont="1" applyFill="1" applyBorder="1" applyAlignment="1">
      <x:alignment vertical="center" wrapText="1"/>
    </x:xf>
    <x:xf numFmtId="201" fontId="7" fillId="6" xfId="0" applyNumberFormat="1" applyFont="1" applyFill="1" applyBorder="0" applyAlignment="1">
      <x:alignment vertical="center" wrapText="1"/>
    </x:xf>
    <x:xf numFmtId="0" fontId="7" fillId="6" borderId="5" xfId="0" applyNumberFormat="1" applyFont="1" applyFill="1" applyBorder="1" applyAlignment="1">
      <x:alignment vertical="center" wrapText="1"/>
    </x:xf>
    <x:xf numFmtId="0" fontId="7" fillId="6" xfId="0" applyNumberFormat="1" applyFont="1" applyFill="1" applyBorder="0" applyAlignment="1">
      <x:alignment vertical="center" wrapText="1"/>
    </x:xf>
    <x:xf numFmtId="0" fontId="7" fillId="6" borderId="6" xfId="0" applyNumberFormat="1" applyFont="1" applyFill="1" applyBorder="1" applyAlignment="1">
      <x:alignment vertical="center" wrapText="1"/>
    </x:xf>
    <x:xf numFmtId="0" fontId="7" fillId="6" borderId="7" xfId="0" applyNumberFormat="1" applyFont="1" applyFill="1" applyBorder="1" applyAlignment="1">
      <x:alignment vertical="center" wrapText="1"/>
    </x:xf>
    <x:xf numFmtId="0" fontId="7" fillId="6" borderId="8" xfId="0" applyNumberFormat="1" applyFont="1" applyFill="1" applyBorder="1" applyAlignment="1">
      <x:alignment vertical="center" wrapText="1"/>
    </x:xf>
    <x:xf numFmtId="0" fontId="8" fillId="6" borderId="4" xfId="0" applyNumberFormat="1" applyFont="1" applyFill="1" applyBorder="1" applyAlignment="1">
      <x:alignment vertical="center" wrapText="1"/>
    </x:xf>
    <x:xf numFmtId="0" fontId="8" fillId="6" borderId="6" xfId="0" applyNumberFormat="1" applyFont="1" applyFill="1" applyBorder="1" applyAlignment="1">
      <x:alignment vertical="center" wrapText="1"/>
    </x:xf>
    <x:xf numFmtId="0" fontId="11" fillId="5" xfId="0" applyNumberFormat="1" applyFont="1" applyFill="1" applyBorder="0" applyAlignment="1">
      <x:alignment horizontal="center" vertical="center" wrapText="1"/>
    </x:xf>
    <x:xf numFmtId="204" fontId="7" fillId="4" xfId="0" applyNumberFormat="1" applyFont="1" applyFill="1" applyBorder="0" applyAlignment="1">
      <x:alignment horizontal="center" vertical="center" wrapText="1"/>
    </x:xf>
    <x:xf numFmtId="201" fontId="7" fillId="6" xfId="0" applyNumberFormat="1" applyFont="1" applyFill="1" applyBorder="0" applyAlignment="1">
      <x:alignment horizontal="center" vertical="center" wrapText="1"/>
    </x:xf>
    <x:xf numFmtId="201" fontId="7" fillId="4" xfId="0" applyNumberFormat="1" applyFont="1" applyFill="1" applyBorder="0" applyAlignment="1">
      <x:alignment horizontal="center" vertical="center" wrapText="1"/>
    </x:xf>
    <x:xf numFmtId="202" fontId="7" fillId="4" xfId="0" applyNumberFormat="1" applyFont="1" applyFill="1" applyBorder="0" applyAlignment="1">
      <x:alignment horizontal="center" vertical="center" wrapText="1"/>
    </x:xf>
    <x:xf numFmtId="0" fontId="7" fillId="4" xfId="0" applyNumberFormat="1" applyFont="1" applyFill="1" applyBorder="0" applyAlignment="1">
      <x:alignment horizontal="center" vertical="center" wrapText="1"/>
    </x:xf>
    <x:xf numFmtId="0" fontId="7" fillId="6" xfId="0" applyNumberFormat="1" applyFont="1" applyFill="1" applyBorder="0" applyAlignment="1">
      <x:alignment horizontal="center" vertical="center" wrapText="1"/>
    </x:xf>
    <x:xf numFmtId="0" fontId="10" fillId="4" borderId="5" xfId="0" applyNumberFormat="1" applyFont="1" applyFill="1" applyBorder="1" applyAlignment="1">
      <x:alignment vertical="center" wrapText="1"/>
    </x:xf>
    <x:xf numFmtId="0" fontId="10" fillId="6" borderId="5" xfId="0" applyNumberFormat="1" applyFont="1" applyFill="1" applyBorder="1" applyAlignment="1">
      <x:alignment vertical="center" wrapText="1"/>
    </x:xf>
    <x:xf numFmtId="0" fontId="8" fillId="7" borderId="4" xfId="0" applyNumberFormat="1" applyFont="1" applyFill="1" applyBorder="1" applyAlignment="1">
      <x:alignment vertical="center" wrapText="1"/>
    </x:xf>
    <x:xf numFmtId="201" fontId="7" fillId="7" xfId="0" applyNumberFormat="1" applyFont="1" applyFill="1" applyBorder="0" applyAlignment="1">
      <x:alignment horizontal="center" vertical="center" wrapText="1"/>
    </x:xf>
    <x:xf numFmtId="201" fontId="8" fillId="7" xfId="0" applyNumberFormat="1" applyFont="1" applyFill="1" applyBorder="0" applyAlignment="1">
      <x:alignment horizontal="center" vertical="center" wrapText="1"/>
    </x:xf>
    <x:xf numFmtId="202" fontId="7" fillId="7" xfId="0" applyNumberFormat="1" applyFont="1" applyFill="1" applyBorder="0" applyAlignment="1">
      <x:alignment horizontal="center" vertical="center" wrapText="1"/>
    </x:xf>
    <x:xf numFmtId="202" fontId="8" fillId="7" xfId="0" applyNumberFormat="1" applyFont="1" applyFill="1" applyBorder="0" applyAlignment="1">
      <x:alignment horizontal="center" vertical="center" wrapText="1"/>
    </x:xf>
    <x:xf numFmtId="0" fontId="7" fillId="5" xfId="0" applyNumberFormat="1" applyFont="1" applyFill="1" applyBorder="0" applyAlignment="1">
      <x:alignment horizontal="center" vertical="center" wrapText="1"/>
    </x:xf>
    <x:xf numFmtId="0" fontId="10" fillId="5" borderId="5" xfId="0" applyNumberFormat="1" applyFont="1" applyFill="1" applyBorder="1" applyAlignment="1">
      <x:alignment vertical="center" wrapText="1"/>
    </x:xf>
    <x:xf numFmtId="201" fontId="7" fillId="6" xfId="0" applyNumberFormat="1" applyFont="1" applyFill="1" applyBorder="0" applyAlignment="1">
      <x:alignment horizontal="left" vertical="center" wrapText="1"/>
    </x:xf>
    <x:xf numFmtId="0" fontId="7" fillId="6" xfId="0" applyNumberFormat="1" applyFont="1" applyFill="1" applyBorder="0" applyAlignment="1">
      <x:alignment horizontal="left" vertical="center" wrapText="1"/>
    </x:xf>
    <x:xf numFmtId="202" fontId="7" fillId="4" xfId="0" applyNumberFormat="1" applyFont="1" applyFill="1" applyBorder="0" applyAlignment="1">
      <x:alignment horizontal="left" vertical="center" wrapText="1"/>
    </x:xf>
    <x:xf numFmtId="0" fontId="7" fillId="4" xfId="0" applyNumberFormat="1" applyFont="1" applyFill="1" applyBorder="0" applyAlignment="1">
      <x:alignment horizontal="left" vertical="center" wrapText="1"/>
    </x:xf>
    <x:xf numFmtId="201" fontId="12" fillId="6" xfId="0" applyNumberFormat="1" applyFont="1" applyFill="1" applyBorder="0" applyAlignment="1">
      <x:alignment horizontal="left" vertical="center" wrapText="1"/>
    </x:xf>
    <x:xf numFmtId="202" fontId="12" fillId="4" xfId="0" applyNumberFormat="1" applyFont="1" applyFill="1" applyBorder="0" applyAlignment="1">
      <x:alignment horizontal="left" vertical="center" wrapText="1"/>
    </x:xf>
    <x:xf numFmtId="0" fontId="12" fillId="6" xfId="0" applyNumberFormat="1" applyFont="1" applyFill="1" applyBorder="0" applyAlignment="1">
      <x:alignment horizontal="left" vertical="center" wrapText="1"/>
    </x:xf>
    <x:xf numFmtId="0" fontId="8" fillId="4" borderId="6" xfId="0" applyNumberFormat="1" applyFont="1" applyFill="1" applyBorder="1" applyAlignment="1">
      <x:alignment vertical="center" wrapText="1"/>
    </x:xf>
    <x:xf numFmtId="0" fontId="13" fillId="4" borderId="6" xfId="0" applyNumberFormat="1" applyFont="1" applyFill="1" applyBorder="1" applyAlignment="1">
      <x:alignment vertical="center" wrapText="1"/>
    </x:xf>
    <x:xf numFmtId="0" fontId="10" fillId="4" borderId="7" xfId="0" applyNumberFormat="1" applyFont="1" applyFill="1" applyBorder="1" applyAlignment="1">
      <x:alignment vertical="center" wrapText="1"/>
    </x:xf>
    <x:xf numFmtId="0" fontId="10" fillId="4" borderId="8" xfId="0" applyNumberFormat="1" applyFont="1" applyFill="1" applyBorder="1" applyAlignment="1">
      <x:alignment vertical="center" wrapText="1"/>
    </x:xf>
    <x:xf numFmtId="203" fontId="7" fillId="0" borderId="0" xfId="0" applyNumberFormat="1" applyFont="1" applyFill="1" applyBorder="1" applyAlignment="1">
      <x:alignment wrapText="1"/>
    </x:xf>
    <x:xf numFmtId="203" fontId="7" fillId="4" borderId="0" xfId="0" applyNumberFormat="1" applyFont="1" applyFill="1" applyBorder="1" applyAlignment="1">
      <x:alignment wrapText="1"/>
    </x:xf>
    <x:xf numFmtId="203" fontId="7" fillId="4" xfId="0" applyNumberFormat="1" applyFont="1" applyFill="1" applyBorder="0" applyAlignment="1">
      <x:alignment wrapText="1"/>
    </x:xf>
    <x:xf numFmtId="201" fontId="7" fillId="4" borderId="5" xfId="0" applyNumberFormat="1" applyFont="1" applyFill="1" applyBorder="1" applyAlignment="1">
      <x:alignment wrapText="1"/>
    </x:xf>
    <x:xf numFmtId="0" fontId="7" fillId="4" borderId="6" xfId="0" applyNumberFormat="1" applyFont="1" applyFill="1" applyBorder="1" applyAlignment="1">
      <x:alignment wrapText="1"/>
    </x:xf>
    <x:xf numFmtId="203" fontId="7" fillId="4" borderId="7" xfId="0" applyNumberFormat="1" applyFont="1" applyFill="1" applyBorder="1" applyAlignment="1">
      <x:alignment wrapText="1"/>
    </x:xf>
    <x:xf numFmtId="202" fontId="7" fillId="4" borderId="7" xfId="0" applyNumberFormat="1" applyFont="1" applyFill="1" applyBorder="1" applyAlignment="1">
      <x:alignment wrapText="1"/>
    </x:xf>
    <x:xf numFmtId="204" fontId="7" fillId="4" borderId="7" xfId="0" applyNumberFormat="1" applyFont="1" applyFill="1" applyBorder="1" applyAlignment="1">
      <x:alignment wrapText="1"/>
    </x:xf>
    <x:xf numFmtId="201" fontId="7" fillId="4" borderId="7" xfId="0" applyNumberFormat="1" applyFont="1" applyFill="1" applyBorder="1" applyAlignment="1">
      <x:alignment wrapText="1"/>
    </x:xf>
    <x:xf numFmtId="0" fontId="7" fillId="4" borderId="7" xfId="0" applyNumberFormat="1" applyFont="1" applyFill="1" applyBorder="1" applyAlignment="1">
      <x:alignment wrapText="1"/>
    </x:xf>
    <x:xf numFmtId="201" fontId="7" fillId="4" borderId="8" xfId="0" applyNumberFormat="1" applyFont="1" applyFill="1" applyBorder="1" applyAlignment="1">
      <x:alignment wrapText="1"/>
    </x:xf>
    <x:xf numFmtId="203" fontId="7" fillId="4" xfId="0" applyNumberFormat="1" applyFont="1" applyFill="1" applyBorder="0" applyAlignment="1">
      <x:alignment vertical="center" wrapText="1"/>
    </x:xf>
    <x:xf numFmtId="201" fontId="7" fillId="4" borderId="5" xfId="0" applyNumberFormat="1" applyFont="1" applyFill="1" applyBorder="1" applyAlignment="1">
      <x:alignment vertical="center" wrapText="1"/>
    </x:xf>
    <x:xf numFmtId="203" fontId="7" fillId="4" borderId="7" xfId="0" applyNumberFormat="1" applyFont="1" applyFill="1" applyBorder="1" applyAlignment="1">
      <x:alignment vertical="center" wrapText="1"/>
    </x:xf>
    <x:xf numFmtId="202" fontId="7" fillId="4" borderId="7" xfId="0" applyNumberFormat="1" applyFont="1" applyFill="1" applyBorder="1" applyAlignment="1">
      <x:alignment vertical="center" wrapText="1"/>
    </x:xf>
    <x:xf numFmtId="204" fontId="7" fillId="4" borderId="7" xfId="0" applyNumberFormat="1" applyFont="1" applyFill="1" applyBorder="1" applyAlignment="1">
      <x:alignment vertical="center" wrapText="1"/>
    </x:xf>
    <x:xf numFmtId="201" fontId="7" fillId="4" borderId="7" xfId="0" applyNumberFormat="1" applyFont="1" applyFill="1" applyBorder="1" applyAlignment="1">
      <x:alignment vertical="center" wrapText="1"/>
    </x:xf>
    <x:xf numFmtId="201" fontId="7" fillId="4" borderId="8" xfId="0" applyNumberFormat="1" applyFont="1" applyFill="1" applyBorder="1" applyAlignment="1">
      <x:alignment vertical="center" wrapText="1"/>
    </x:xf>
    <x:xf numFmtId="203" fontId="7" fillId="6" xfId="0" applyNumberFormat="1" applyFont="1" applyFill="1" applyBorder="0" applyAlignment="1">
      <x:alignment vertical="center" wrapText="1"/>
    </x:xf>
    <x:xf numFmtId="202" fontId="7" fillId="6" xfId="0" applyNumberFormat="1" applyFont="1" applyFill="1" applyBorder="0" applyAlignment="1">
      <x:alignment vertical="center" wrapText="1"/>
    </x:xf>
    <x:xf numFmtId="204" fontId="7" fillId="6" xfId="0" applyNumberFormat="1" applyFont="1" applyFill="1" applyBorder="0" applyAlignment="1">
      <x:alignment vertical="center" wrapText="1"/>
    </x:xf>
    <x:xf numFmtId="201" fontId="7" fillId="6" borderId="5" xfId="0" applyNumberFormat="1" applyFont="1" applyFill="1" applyBorder="1" applyAlignment="1">
      <x:alignment vertical="center" wrapText="1"/>
    </x:xf>
    <x:xf numFmtId="203" fontId="7" fillId="6" borderId="7" xfId="0" applyNumberFormat="1" applyFont="1" applyFill="1" applyBorder="1" applyAlignment="1">
      <x:alignment vertical="center" wrapText="1"/>
    </x:xf>
    <x:xf numFmtId="202" fontId="7" fillId="6" borderId="7" xfId="0" applyNumberFormat="1" applyFont="1" applyFill="1" applyBorder="1" applyAlignment="1">
      <x:alignment vertical="center" wrapText="1"/>
    </x:xf>
    <x:xf numFmtId="204" fontId="7" fillId="6" borderId="7" xfId="0" applyNumberFormat="1" applyFont="1" applyFill="1" applyBorder="1" applyAlignment="1">
      <x:alignment vertical="center" wrapText="1"/>
    </x:xf>
    <x:xf numFmtId="201" fontId="7" fillId="6" borderId="7" xfId="0" applyNumberFormat="1" applyFont="1" applyFill="1" applyBorder="1" applyAlignment="1">
      <x:alignment vertical="center" wrapText="1"/>
    </x:xf>
    <x:xf numFmtId="201" fontId="7" fillId="6" borderId="8" xfId="0" applyNumberFormat="1" applyFont="1" applyFill="1" applyBorder="1" applyAlignment="1">
      <x:alignment vertical="center" wrapText="1"/>
    </x:xf>
    <x:xf numFmtId="0" fontId="8" fillId="4" borderId="4" xfId="0" applyNumberFormat="1" applyFont="1" applyFill="1" applyBorder="1" applyAlignment="1">
      <x:alignment horizontal="center" vertical="center" wrapText="1"/>
    </x:xf>
    <x:xf numFmtId="0" fontId="8" fillId="6" borderId="4" xfId="0" applyNumberFormat="1" applyFont="1" applyFill="1" applyBorder="1" applyAlignment="1">
      <x:alignment horizontal="center" vertical="center" wrapText="1"/>
    </x:xf>
    <x:xf numFmtId="0" fontId="8" fillId="6" borderId="6" xfId="0" applyNumberFormat="1" applyFont="1" applyFill="1" applyBorder="1" applyAlignment="1">
      <x:alignment horizontal="center" vertical="center" wrapText="1"/>
    </x:xf>
    <x:xf numFmtId="0" fontId="11" fillId="8" xfId="0" applyNumberFormat="1" applyFont="1" applyFill="1" applyBorder="0" applyAlignment="1">
      <x:alignment horizontal="left" vertical="center" wrapText="1"/>
    </x:xf>
    <x:xf numFmtId="0" fontId="11" fillId="8" borderId="5" xfId="0" applyNumberFormat="1" applyFont="1" applyFill="1" applyBorder="1" applyAlignment="1">
      <x:alignment horizontal="left" vertical="center" wrapText="1"/>
    </x:xf>
    <x:xf numFmtId="201" fontId="7" fillId="7" xfId="0" applyNumberFormat="1" applyFont="1" applyFill="1" applyBorder="0" applyAlignment="1">
      <x:alignment vertical="center" wrapText="1"/>
    </x:xf>
    <x:xf numFmtId="201" fontId="7" fillId="7" borderId="7" xfId="0" applyNumberFormat="1" applyFont="1" applyFill="1" applyBorder="1" applyAlignment="1">
      <x:alignment vertical="center" wrapText="1"/>
    </x:xf>
    <x:xf numFmtId="201" fontId="8" fillId="7" xfId="0" applyNumberFormat="1" applyFont="1" applyFill="1" applyBorder="0" applyAlignment="1">
      <x:alignment vertical="center" wrapText="1"/>
    </x:xf>
    <x:xf numFmtId="201" fontId="8" fillId="7" borderId="7" xfId="0" applyNumberFormat="1" applyFont="1" applyFill="1" applyBorder="1" applyAlignment="1">
      <x:alignment vertical="center" wrapText="1"/>
    </x:xf>
    <x:xf numFmtId="0" fontId="7" fillId="3" borderId="0" xfId="0" applyNumberFormat="1" applyFont="1" applyFill="1" applyBorder="1" applyAlignment="1">
      <x:alignment wrapText="1"/>
    </x:xf>
    <x:xf numFmtId="201" fontId="7" fillId="3" borderId="0" xfId="0" applyNumberFormat="1" applyFont="1" applyFill="1" applyBorder="1" applyAlignment="1">
      <x:alignment wrapText="1"/>
    </x:xf>
    <x:xf numFmtId="201" fontId="7" fillId="0" borderId="0" xfId="0" applyNumberFormat="1" applyFont="1" applyFill="1" applyBorder="1"/>
    <x:xf numFmtId="204" fontId="7" fillId="0" borderId="0" xfId="0" applyNumberFormat="1" applyFont="1" applyFill="1" applyBorder="1"/>
    <x:xf numFmtId="201" fontId="7" fillId="4" borderId="0" xfId="0" applyNumberFormat="1" applyFont="1" applyFill="1" applyBorder="1"/>
    <x:xf numFmtId="204" fontId="7" fillId="4" borderId="0" xfId="0" applyNumberFormat="1" applyFont="1" applyFill="1" applyBorder="1"/>
    <x:xf numFmtId="201" fontId="7" fillId="4" xfId="0" applyNumberFormat="1" applyFont="1" applyFill="1" applyBorder="0"/>
    <x:xf numFmtId="204" fontId="7" fillId="4" xfId="0" applyNumberFormat="1" applyFont="1" applyFill="1" applyBorder="0"/>
    <x:xf numFmtId="0" fontId="7" fillId="4" borderId="8" xfId="0" applyNumberFormat="1" applyFont="1" applyFill="1" applyBorder="1" applyAlignment="1">
      <x:alignment wrapText="1"/>
    </x:xf>
    <x:xf numFmtId="201" fontId="7" fillId="4" xfId="0" applyNumberFormat="1" applyFont="1" applyFill="1" applyBorder="0" applyAlignment="1">
      <x:alignment vertical="center"/>
    </x:xf>
    <x:xf numFmtId="204" fontId="7" fillId="4" xfId="0" applyNumberFormat="1" applyFont="1" applyFill="1" applyBorder="0" applyAlignment="1">
      <x:alignment vertical="center"/>
    </x:xf>
    <x:xf numFmtId="0" fontId="8" fillId="9" borderId="4" xfId="0" applyNumberFormat="1" applyFont="1" applyFill="1" applyBorder="1" applyAlignment="1">
      <x:alignment vertical="center" wrapText="1"/>
    </x:xf>
    <x:xf numFmtId="0" fontId="14" fillId="9" borderId="4" xfId="0" applyNumberFormat="1" applyFont="1" applyFill="1" applyBorder="1" applyAlignment="1">
      <x:alignment vertical="center" wrapText="1"/>
    </x:xf>
    <x:xf numFmtId="0" fontId="14" fillId="9" borderId="9" xfId="0" applyNumberFormat="1" applyFont="1" applyFill="1" applyBorder="1" applyAlignment="1">
      <x:alignment vertical="center" wrapText="1"/>
    </x:xf>
    <x:xf numFmtId="201" fontId="7" fillId="9" xfId="0" applyNumberFormat="1" applyFont="1" applyFill="1" applyBorder="0" applyAlignment="1">
      <x:alignment vertical="center" wrapText="1"/>
    </x:xf>
    <x:xf numFmtId="201" fontId="15" fillId="9" xfId="0" applyNumberFormat="1" applyFont="1" applyFill="1" applyBorder="0" applyAlignment="1">
      <x:alignment vertical="center" wrapText="1"/>
    </x:xf>
    <x:xf numFmtId="201" fontId="15" fillId="9" borderId="10" xfId="0" applyNumberFormat="1" applyFont="1" applyFill="1" applyBorder="1" applyAlignment="1">
      <x:alignment vertical="center" wrapText="1"/>
    </x:xf>
    <x:xf numFmtId="0" fontId="7" fillId="9" xfId="0" applyNumberFormat="1" applyFont="1" applyFill="1" applyBorder="0" applyAlignment="1">
      <x:alignment vertical="center" wrapText="1"/>
    </x:xf>
    <x:xf numFmtId="0" fontId="15" fillId="9" xfId="0" applyNumberFormat="1" applyFont="1" applyFill="1" applyBorder="0" applyAlignment="1">
      <x:alignment vertical="center" wrapText="1"/>
    </x:xf>
    <x:xf numFmtId="0" fontId="15" fillId="9" borderId="10" xfId="0" applyNumberFormat="1" applyFont="1" applyFill="1" applyBorder="1" applyAlignment="1">
      <x:alignment vertical="center" wrapText="1"/>
    </x:xf>
    <x:xf numFmtId="0" fontId="7" fillId="9" borderId="5" xfId="0" applyNumberFormat="1" applyFont="1" applyFill="1" applyBorder="1" applyAlignment="1">
      <x:alignment vertical="center" wrapText="1"/>
    </x:xf>
    <x:xf numFmtId="0" fontId="15" fillId="9" borderId="5" xfId="0" applyNumberFormat="1" applyFont="1" applyFill="1" applyBorder="1" applyAlignment="1">
      <x:alignment vertical="center" wrapText="1"/>
    </x:xf>
    <x:xf numFmtId="0" fontId="15" fillId="9" borderId="9" xfId="0" applyNumberFormat="1" applyFont="1" applyFill="1" applyBorder="1" applyAlignment="1">
      <x:alignment vertical="center" wrapText="1"/>
    </x:xf>
    <x:xf numFmtId="0" fontId="7" fillId="9" borderId="8" xfId="0" applyNumberFormat="1" applyFont="1" applyFill="1" applyBorder="1" applyAlignment="1">
      <x:alignment vertical="center" wrapText="1"/>
    </x:xf>
    <x:xf numFmtId="0" fontId="15" fillId="9" borderId="8" xfId="0" applyNumberFormat="1" applyFont="1" applyFill="1" applyBorder="1" applyAlignment="1">
      <x:alignment vertical="center" wrapText="1"/>
    </x:xf>
    <x:xf numFmtId="204" fontId="7" fillId="7" xfId="0" applyNumberFormat="1" applyFont="1" applyFill="1" applyBorder="0" applyAlignment="1">
      <x:alignment vertical="center" wrapText="1"/>
    </x:xf>
    <x:xf numFmtId="0" fontId="7" fillId="7" xfId="0" applyNumberFormat="1" applyFont="1" applyFill="1" applyBorder="0" applyAlignment="1">
      <x:alignment vertical="center" wrapText="1"/>
    </x:xf>
    <x:xf numFmtId="0" fontId="7" fillId="7" borderId="5" xfId="0" applyNumberFormat="1" applyFont="1" applyFill="1" applyBorder="1" applyAlignment="1">
      <x:alignment vertical="center" wrapText="1"/>
    </x:xf>
    <x:xf numFmtId="0" fontId="16" fillId="7" borderId="4" xfId="0" applyNumberFormat="1" applyFont="1" applyFill="1" applyBorder="1" applyAlignment="1">
      <x:alignment vertical="center" wrapText="1"/>
    </x:xf>
    <x:xf numFmtId="201" fontId="16" fillId="7" xfId="0" applyNumberFormat="1" applyFont="1" applyFill="1" applyBorder="0" applyAlignment="1">
      <x:alignment vertical="center" wrapText="1"/>
    </x:xf>
    <x:xf numFmtId="204" fontId="16" fillId="7" xfId="0" applyNumberFormat="1" applyFont="1" applyFill="1" applyBorder="0" applyAlignment="1">
      <x:alignment vertical="center" wrapText="1"/>
    </x:xf>
    <x:xf numFmtId="0" fontId="16" fillId="7" xfId="0" applyNumberFormat="1" applyFont="1" applyFill="1" applyBorder="0" applyAlignment="1">
      <x:alignment vertical="center" wrapText="1"/>
    </x:xf>
    <x:xf numFmtId="0" fontId="16" fillId="7" borderId="5" xfId="0" applyNumberFormat="1" applyFont="1" applyFill="1" applyBorder="1" applyAlignment="1">
      <x:alignment vertical="center" wrapText="1"/>
    </x:xf>
    <x:xf numFmtId="200" fontId="7" fillId="3" borderId="0" xfId="0" applyNumberFormat="1" applyFont="1" applyFill="1" applyBorder="1" applyAlignment="1">
      <x:alignment wrapText="1"/>
    </x:xf>
    <x:xf numFmtId="202" fontId="7" fillId="3" borderId="0" xfId="0" applyNumberFormat="1" applyFont="1" applyFill="1" applyBorder="1" applyAlignment="1">
      <x:alignment wrapText="1"/>
    </x:xf>
    <x:xf numFmtId="200" fontId="7" fillId="4" borderId="0" xfId="0" applyNumberFormat="1" applyFont="1" applyFill="1" applyBorder="1" applyAlignment="1">
      <x:alignment wrapText="1"/>
    </x:xf>
    <x:xf numFmtId="200" fontId="7" fillId="4" xfId="0" applyNumberFormat="1" applyFont="1" applyFill="1" applyBorder="0" applyAlignment="1">
      <x:alignment wrapText="1"/>
    </x:xf>
    <x:xf numFmtId="200" fontId="7" fillId="4" xfId="0" applyNumberFormat="1" applyFont="1" applyFill="1" applyBorder="0" applyAlignment="1">
      <x:alignment vertical="center" wrapText="1"/>
    </x:xf>
    <x:xf numFmtId="200" fontId="7" fillId="6" xfId="0" applyNumberFormat="1" applyFont="1" applyFill="1" applyBorder="0" applyAlignment="1">
      <x:alignment vertical="center" wrapText="1"/>
    </x:xf>
    <x:xf numFmtId="200" fontId="7" fillId="9" xfId="0" applyNumberFormat="1" applyFont="1" applyFill="1" applyBorder="0" applyAlignment="1">
      <x:alignment vertical="center" wrapText="1"/>
    </x:xf>
    <x:xf numFmtId="200" fontId="15" fillId="9" xfId="0" applyNumberFormat="1" applyFont="1" applyFill="1" applyBorder="0" applyAlignment="1">
      <x:alignment vertical="center" wrapText="1"/>
    </x:xf>
    <x:xf numFmtId="200" fontId="15" fillId="9" borderId="10" xfId="0" applyNumberFormat="1" applyFont="1" applyFill="1" applyBorder="1" applyAlignment="1">
      <x:alignment vertical="center" wrapText="1"/>
    </x:xf>
    <x:xf numFmtId="202" fontId="7" fillId="9" xfId="0" applyNumberFormat="1" applyFont="1" applyFill="1" applyBorder="0" applyAlignment="1">
      <x:alignment vertical="center" wrapText="1"/>
    </x:xf>
    <x:xf numFmtId="202" fontId="15" fillId="9" xfId="0" applyNumberFormat="1" applyFont="1" applyFill="1" applyBorder="0" applyAlignment="1">
      <x:alignment vertical="center" wrapText="1"/>
    </x:xf>
    <x:xf numFmtId="202" fontId="15" fillId="9" borderId="10" xfId="0" applyNumberFormat="1" applyFont="1" applyFill="1" applyBorder="1" applyAlignment="1">
      <x:alignment vertical="center" wrapText="1"/>
    </x:xf>
    <x:xf numFmtId="0" fontId="7" fillId="5" xfId="0" applyNumberFormat="1" applyFont="1" applyFill="1" applyBorder="0" applyAlignment="1">
      <x:alignment vertical="center" wrapText="1"/>
    </x:xf>
    <x:xf numFmtId="0" fontId="7" fillId="5" borderId="5" xfId="0" applyNumberFormat="1" applyFont="1" applyFill="1" applyBorder="1" applyAlignment="1">
      <x:alignment vertical="center" wrapText="1"/>
    </x:xf>
    <x:xf numFmtId="205" fontId="7" fillId="6" xfId="0" applyNumberFormat="1" applyFont="1" applyFill="1" applyBorder="0" applyAlignment="1">
      <x:alignment horizontal="center" vertical="center" wrapText="1"/>
    </x:xf>
    <x:xf numFmtId="205" fontId="7" fillId="4" xfId="0" applyNumberFormat="1" applyFont="1" applyFill="1" applyBorder="0" applyAlignment="1">
      <x:alignment horizontal="center" vertical="center" wrapText="1"/>
    </x:xf>
    <x:xf numFmtId="205" fontId="8" fillId="7" xfId="0" applyNumberFormat="1" applyFont="1" applyFill="1" applyBorder="0" applyAlignment="1">
      <x:alignment horizontal="center" vertical="center" wrapText="1"/>
    </x:xf>
    <x:xf numFmtId="205" fontId="12" fillId="6" xfId="0" applyNumberFormat="1" applyFont="1" applyFill="1" applyBorder="0" applyAlignment="1">
      <x:alignment horizontal="left" vertical="center" wrapText="1"/>
    </x:xf>
    <x:xf numFmtId="206" fontId="8" fillId="7" xfId="0" applyNumberFormat="1" applyFont="1" applyFill="1" applyBorder="0" applyAlignment="1">
      <x:alignment horizontal="center" vertical="center" wrapText="1"/>
    </x:xf>
    <x:xf numFmtId="206" fontId="12" fillId="4" xfId="0" applyNumberFormat="1" applyFont="1" applyFill="1" applyBorder="0" applyAlignment="1">
      <x:alignment horizontal="left" vertical="center" wrapText="1"/>
    </x:xf>
    <x:xf numFmtId="205" fontId="7" fillId="4" xfId="0" applyNumberFormat="1" applyFont="1" applyFill="1" applyBorder="0" applyAlignment="1">
      <x:alignment vertical="center" wrapText="1"/>
    </x:xf>
    <x:xf numFmtId="205" fontId="7" fillId="6" xfId="0" applyNumberFormat="1" applyFont="1" applyFill="1" applyBorder="0" applyAlignment="1">
      <x:alignment vertical="center" wrapText="1"/>
    </x:xf>
    <x:xf numFmtId="205" fontId="7" fillId="6" borderId="7" xfId="0" applyNumberFormat="1" applyFont="1" applyFill="1" applyBorder="1" applyAlignment="1">
      <x:alignment vertical="center" wrapText="1"/>
    </x:xf>
    <x:xf numFmtId="205" fontId="8" fillId="7" xfId="0" applyNumberFormat="1" applyFont="1" applyFill="1" applyBorder="0" applyAlignment="1">
      <x:alignment vertical="center" wrapText="1"/>
    </x:xf>
    <x:xf numFmtId="205" fontId="8" fillId="7" borderId="7" xfId="0" applyNumberFormat="1" applyFont="1" applyFill="1" applyBorder="1" applyAlignment="1">
      <x:alignment vertical="center" wrapText="1"/>
    </x:xf>
    <x:xf numFmtId="205" fontId="7" fillId="4" borderId="5" xfId="0" applyNumberFormat="1" applyFont="1" applyFill="1" applyBorder="1" applyAlignment="1">
      <x:alignment vertical="center" wrapText="1"/>
    </x:xf>
    <x:xf numFmtId="205" fontId="7" fillId="6" borderId="5" xfId="0" applyNumberFormat="1" applyFont="1" applyFill="1" applyBorder="1" applyAlignment="1">
      <x:alignment vertical="center" wrapText="1"/>
    </x:xf>
    <x:xf numFmtId="205" fontId="7" fillId="6" borderId="8" xfId="0" applyNumberFormat="1" applyFont="1" applyFill="1" applyBorder="1" applyAlignment="1">
      <x:alignment vertical="center" wrapText="1"/>
    </x:xf>
    <x:xf numFmtId="207" fontId="7" fillId="4" xfId="0" applyNumberFormat="1" applyFont="1" applyFill="1" applyBorder="0" applyAlignment="1">
      <x:alignment vertical="center" wrapText="1"/>
    </x:xf>
    <x:xf numFmtId="207" fontId="7" fillId="6" xfId="0" applyNumberFormat="1" applyFont="1" applyFill="1" applyBorder="0" applyAlignment="1">
      <x:alignment vertical="center" wrapText="1"/>
    </x:xf>
    <x:xf numFmtId="207" fontId="7" fillId="6" borderId="7" xfId="0" applyNumberFormat="1" applyFont="1" applyFill="1" applyBorder="1" applyAlignment="1">
      <x:alignment vertical="center" wrapText="1"/>
    </x:xf>
    <x:xf numFmtId="206" fontId="7" fillId="4" xfId="0" applyNumberFormat="1" applyFont="1" applyFill="1" applyBorder="0" applyAlignment="1">
      <x:alignment vertical="center" wrapText="1"/>
    </x:xf>
    <x:xf numFmtId="206" fontId="7" fillId="6" xfId="0" applyNumberFormat="1" applyFont="1" applyFill="1" applyBorder="0" applyAlignment="1">
      <x:alignment vertical="center" wrapText="1"/>
    </x:xf>
    <x:xf numFmtId="206" fontId="7" fillId="6" borderId="7" xfId="0" applyNumberFormat="1" applyFont="1" applyFill="1" applyBorder="1" applyAlignment="1">
      <x:alignment vertical="center" wrapText="1"/>
    </x:xf>
    <x:xf numFmtId="0" fontId="15" fillId="3" borderId="10" xfId="0" applyNumberFormat="1" applyFont="1" applyFill="1" applyBorder="1" applyAlignment="1">
      <x:alignment vertical="center" wrapText="1"/>
    </x:xf>
    <x:xf numFmtId="0" fontId="15" fillId="3" borderId="9" xfId="0" applyNumberFormat="1" applyFont="1" applyFill="1" applyBorder="1" applyAlignment="1">
      <x:alignment vertical="center" wrapText="1"/>
    </x:xf>
    <x:xf numFmtId="205" fontId="16" fillId="7" xfId="0" applyNumberFormat="1" applyFont="1" applyFill="1" applyBorder="0" applyAlignment="1">
      <x:alignment vertical="center" wrapText="1"/>
    </x:xf>
    <x:xf numFmtId="205" fontId="15" fillId="3" borderId="10" xfId="0" applyNumberFormat="1" applyFont="1" applyFill="1" applyBorder="1" applyAlignment="1">
      <x:alignment vertical="center" wrapText="1"/>
    </x:xf>
    <x:xf numFmtId="208" fontId="15" fillId="3" borderId="10" xfId="0" applyNumberFormat="1" applyFont="1" applyFill="1" applyBorder="1" applyAlignment="1">
      <x:alignment vertical="center" wrapText="1"/>
    </x:xf>
    <x:xf numFmtId="0" fontId="0" fillId="10" borderId="0" xfId="0" applyNumberFormat="1" applyFont="1" applyFill="1" applyBorder="1"/>
    <x:xf numFmtId="0" fontId="17" fillId="10" borderId="0" xfId="0" applyNumberFormat="1" applyFont="1" applyFill="1" applyBorder="1"/>
    <x:xf numFmtId="0" fontId="18" fillId="0" borderId="0" xfId="0" applyNumberFormat="1" applyFont="1" applyFill="1" applyBorder="1"/>
    <x:xf numFmtId="0" fontId="18" fillId="0" borderId="0" xfId="0" applyNumberFormat="1" applyFont="1" applyFill="1" applyBorder="1" applyAlignment="1">
      <x:alignment wrapText="1"/>
    </x:xf>
    <x:xf numFmtId="0" fontId="0" fillId="11" borderId="0" xfId="0" applyNumberFormat="1" applyFont="1" applyFill="1" applyBorder="1"/>
    <x:xf numFmtId="0" fontId="19" fillId="11" borderId="0" xfId="0" applyNumberFormat="1" applyFont="1" applyFill="1" applyBorder="1"/>
    <x:xf numFmtId="0" fontId="20" fillId="10" borderId="0" xfId="0" applyNumberFormat="1" applyFont="1" applyFill="1" applyBorder="1"/>
    <x:xf numFmtId="0" fontId="20" fillId="10" borderId="0"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1" xfId="0" applyNumberFormat="1" applyFont="1" applyFill="1" applyBorder="1" applyAlignment="1">
      <x:alignment wrapText="1"/>
    </x:xf>
    <x:xf numFmtId="0" fontId="0" fillId="0" borderId="12" xfId="0" applyNumberFormat="1" applyFont="1" applyFill="1" applyBorder="1" applyAlignment="1">
      <x:alignment wrapText="1"/>
    </x:xf>
    <x:xf numFmtId="0" fontId="0" fillId="0" borderId="13" xfId="0" applyNumberFormat="1" applyFont="1" applyFill="1" applyBorder="1" applyAlignment="1">
      <x:alignment wrapText="1"/>
    </x:xf>
    <x:xf numFmtId="0" fontId="21" fillId="0" borderId="11" xfId="0" applyNumberFormat="1" applyFont="1" applyFill="1" applyBorder="1" applyAlignment="1">
      <x:alignment wrapText="1"/>
    </x:xf>
    <x:xf numFmtId="0" fontId="21" fillId="0" borderId="12" xfId="0" applyNumberFormat="1" applyFont="1" applyFill="1" applyBorder="1" applyAlignment="1">
      <x:alignment wrapText="1"/>
    </x:xf>
    <x:xf numFmtId="0" fontId="21" fillId="0" borderId="13" xfId="0" applyNumberFormat="1" applyFont="1" applyFill="1" applyBorder="1" applyAlignment="1">
      <x:alignment wrapText="1"/>
    </x:xf>
    <x:xf numFmtId="209" fontId="0" fillId="0" borderId="11" xfId="0" applyNumberFormat="1" applyFont="1" applyFill="1" applyBorder="1" applyAlignment="1">
      <x:alignment wrapText="1"/>
    </x:xf>
    <x:xf numFmtId="209" fontId="0" fillId="0" borderId="12" xfId="0" applyNumberFormat="1" applyFont="1" applyFill="1" applyBorder="1" applyAlignment="1">
      <x:alignment wrapText="1"/>
    </x:xf>
    <x:xf numFmtId="0" fontId="0" fillId="12" borderId="13" xfId="0" applyNumberFormat="1" applyFont="1" applyFill="1" applyBorder="1" applyAlignment="1">
      <x:alignment wrapText="1"/>
    </x:xf>
    <x:xf numFmtId="0" fontId="21" fillId="12" borderId="13" xfId="0" applyNumberFormat="1" applyFont="1" applyFill="1" applyBorder="1" applyAlignment="1">
      <x:alignment wrapText="1"/>
    </x:xf>
    <x:xf numFmtId="0" fontId="19" fillId="12" borderId="13" xfId="0" applyNumberFormat="1" applyFont="1" applyFill="1" applyBorder="1" applyAlignment="1">
      <x:alignment wrapText="1"/>
    </x:xf>
    <x:xf numFmtId="210" fontId="7" fillId="4" xfId="0" applyNumberFormat="1" applyFont="1" applyFill="1" applyBorder="0" applyAlignment="1">
      <x:alignment vertical="center" wrapText="1"/>
    </x:xf>
    <x:xf numFmtId="206" fontId="22" fillId="4" xfId="0" applyNumberFormat="1" applyFont="1" applyFill="1" applyBorder="0" applyAlignment="1">
      <x:alignment vertical="center" wrapText="1"/>
    </x:xf>
    <x:xf numFmtId="210" fontId="22" fillId="4" xfId="0" applyNumberFormat="1" applyFont="1" applyFill="1" applyBorder="0" applyAlignment="1">
      <x:alignment vertical="center" wrapText="1"/>
    </x:xf>
    <x:xf numFmtId="200" fontId="1" fillId="0" borderId="0" xfId="0" applyNumberFormat="1" applyFont="1" applyFill="1" applyBorder="1"/>
    <x:xf numFmtId="207" fontId="1" fillId="0" borderId="0" xfId="0" applyNumberFormat="1" applyFont="1" applyFill="1" applyBorder="1"/>
    <x:xf numFmtId="206" fontId="1" fillId="0" borderId="0" xfId="0" applyNumberFormat="1" applyFont="1" applyFill="1" applyBorder="1"/>
    <x:xf numFmtId="210" fontId="1" fillId="0" borderId="0" xfId="0" applyNumberFormat="1" applyFont="1" applyFill="1" applyBorder="1"/>
    <x:xf numFmtId="0" fontId="23" fillId="0" borderId="0" xfId="0" applyNumberFormat="1" applyFont="1" applyFill="1" applyBorder="1"/>
    <x:xf numFmtId="210" fontId="23" fillId="0" borderId="0" xfId="0" applyNumberFormat="1" applyFont="1" applyFill="1" applyBorder="1"/>
    <x:xf numFmtId="206" fontId="23" fillId="0" borderId="0" xfId="0" applyNumberFormat="1" applyFont="1" applyFill="1" applyBorder="1"/>
    <x:xf numFmtId="0" fontId="1" fillId="13" borderId="0" xfId="0" applyNumberFormat="1" applyFont="1" applyFill="1" applyBorder="1"/>
    <x:xf numFmtId="0" fontId="24" fillId="13" borderId="0" xfId="0" applyNumberFormat="1" applyFont="1" applyFill="1" applyBorder="1"/>
    <x:xf numFmtId="0" fontId="24" fillId="13" borderId="0" xfId="0" applyNumberFormat="1" applyFont="1" applyFill="1" applyBorder="1" applyAlignment="1">
      <x:alignment wrapText="1"/>
    </x:xf>
    <x:xf numFmtId="0" fontId="24" fillId="13" borderId="0" xfId="0" applyNumberFormat="1" applyFont="1" applyFill="1" applyBorder="1" applyAlignment="1">
      <x:alignment vertical="center" wrapText="1"/>
    </x:xf>
    <x:xf numFmtId="210" fontId="23" fillId="0" borderId="0" xfId="0" applyNumberFormat="1" applyFont="1" applyFill="1" applyBorder="1" applyAlignment="1">
      <x:alignment wrapText="1"/>
    </x:xf>
    <x:xf numFmtId="0" fontId="23" fillId="0" borderId="0" xfId="0" applyNumberFormat="1" applyFont="1" applyFill="1" applyBorder="1" applyAlignment="1">
      <x:alignment wrapText="1"/>
    </x:xf>
    <x:xf numFmtId="206" fontId="23" fillId="0" borderId="0" xfId="0" applyNumberFormat="1" applyFont="1" applyFill="1" applyBorder="1" applyAlignment="1">
      <x:alignment wrapText="1"/>
    </x:xf>
    <x:xf numFmtId="0" fontId="1" fillId="14" borderId="0" xfId="0" applyNumberFormat="1" applyFont="1" applyFill="1" applyBorder="1"/>
    <x:xf numFmtId="0" fontId="25" fillId="14" borderId="0" xfId="0" applyNumberFormat="1" applyFont="1" applyFill="1" applyBorder="1"/>
    <x:xf numFmtId="0" fontId="25" fillId="14" borderId="0" xfId="0" applyNumberFormat="1" applyFont="1" applyFill="1" applyBorder="1" applyAlignment="1">
      <x:alignment wrapText="1"/>
    </x:xf>
    <x:xf numFmtId="0" fontId="25" fillId="14" borderId="0" xfId="0" applyNumberFormat="1" applyFont="1" applyFill="1" applyBorder="1" applyAlignment="1">
      <x:alignment vertical="center" wrapText="1"/>
    </x:xf>
    <x:xf numFmtId="0" fontId="1" fillId="15" borderId="0" xfId="0" applyNumberFormat="1" applyFont="1" applyFill="1" applyBorder="1" applyAlignment="1">
      <x:alignment wrapText="1"/>
    </x:xf>
    <x:xf numFmtId="210" fontId="23" fillId="15" borderId="0" xfId="0" applyNumberFormat="1" applyFont="1" applyFill="1" applyBorder="1" applyAlignment="1">
      <x:alignment wrapText="1"/>
    </x:xf>
    <x:xf numFmtId="0" fontId="23" fillId="15" borderId="0" xfId="0" applyNumberFormat="1" applyFont="1" applyFill="1" applyBorder="1" applyAlignment="1">
      <x:alignment wrapText="1"/>
    </x:xf>
    <x:xf numFmtId="0" fontId="26" fillId="15" borderId="0" xfId="0" applyNumberFormat="1" applyFont="1" applyFill="1" applyBorder="1" applyAlignment="1">
      <x:alignment wrapText="1"/>
    </x:xf>
    <x:xf numFmtId="210" fontId="26" fillId="15" borderId="0" xfId="0" applyNumberFormat="1" applyFont="1" applyFill="1" applyBorder="1" applyAlignment="1">
      <x:alignment wrapText="1"/>
    </x:xf>
    <x:xf numFmtId="0" fontId="26" fillId="15" borderId="0" xfId="0" applyNumberFormat="1" applyFont="1" applyFill="1" applyBorder="1" applyAlignment="1">
      <x:alignment vertical="center" wrapText="1"/>
    </x:xf>
    <x:xf numFmtId="210" fontId="26" fillId="15" borderId="0" xfId="0" applyNumberFormat="1" applyFont="1" applyFill="1" applyBorder="1" applyAlignment="1">
      <x:alignment vertical="center" wrapText="1"/>
    </x:xf>
    <x:xf numFmtId="0" fontId="27" fillId="15" borderId="0" xfId="0" applyNumberFormat="1" applyFont="1" applyFill="1" applyBorder="1" applyAlignment="1">
      <x:alignment vertical="center" wrapText="1"/>
    </x:xf>
    <x:xf numFmtId="210" fontId="26" fillId="15" borderId="0" xfId="0" applyNumberFormat="1" applyFont="1" applyFill="1" applyBorder="1" applyAlignment="1">
      <x:alignment horizontal="center" vertical="center" wrapText="1"/>
    </x:xf>
    <x:xf numFmtId="0" fontId="26" fillId="15" borderId="0" xfId="0" applyNumberFormat="1" applyFont="1" applyFill="1" applyBorder="1" applyAlignment="1">
      <x:alignment horizontal="center" vertical="center" wrapText="1"/>
    </x:xf>
    <x:xf numFmtId="0" fontId="28" fillId="15" borderId="0" xfId="0" applyNumberFormat="1" applyFont="1" applyFill="1" applyBorder="1" applyAlignment="1">
      <x:alignment vertical="center" wrapText="1"/>
    </x:xf>
    <x:xf numFmtId="0" fontId="1" fillId="16" borderId="0" xfId="0" applyNumberFormat="1" applyFont="1" applyFill="1" applyBorder="1" applyAlignment="1">
      <x:alignment wrapText="1"/>
    </x:xf>
    <x:xf numFmtId="206" fontId="23" fillId="16" borderId="0" xfId="0" applyNumberFormat="1" applyFont="1" applyFill="1" applyBorder="1" applyAlignment="1">
      <x:alignment wrapText="1"/>
    </x:xf>
    <x:xf numFmtId="0" fontId="23" fillId="16" borderId="0" xfId="0" applyNumberFormat="1" applyFont="1" applyFill="1" applyBorder="1" applyAlignment="1">
      <x:alignment wrapText="1"/>
    </x:xf>
    <x:xf numFmtId="0" fontId="26" fillId="16" borderId="0" xfId="0" applyNumberFormat="1" applyFont="1" applyFill="1" applyBorder="1" applyAlignment="1">
      <x:alignment wrapText="1"/>
    </x:xf>
    <x:xf numFmtId="206" fontId="26" fillId="16" borderId="0" xfId="0" applyNumberFormat="1" applyFont="1" applyFill="1" applyBorder="1" applyAlignment="1">
      <x:alignment wrapText="1"/>
    </x:xf>
    <x:xf numFmtId="0" fontId="26" fillId="16" borderId="0" xfId="0" applyNumberFormat="1" applyFont="1" applyFill="1" applyBorder="1" applyAlignment="1">
      <x:alignment vertical="center" wrapText="1"/>
    </x:xf>
    <x:xf numFmtId="206" fontId="26" fillId="16" borderId="0" xfId="0" applyNumberFormat="1" applyFont="1" applyFill="1" applyBorder="1" applyAlignment="1">
      <x:alignment vertical="center" wrapText="1"/>
    </x:xf>
    <x:xf numFmtId="0" fontId="27" fillId="16" borderId="0" xfId="0" applyNumberFormat="1" applyFont="1" applyFill="1" applyBorder="1" applyAlignment="1">
      <x:alignment vertical="center" wrapText="1"/>
    </x:xf>
    <x:xf numFmtId="206" fontId="26" fillId="16" borderId="0" xfId="0" applyNumberFormat="1" applyFont="1" applyFill="1" applyBorder="1" applyAlignment="1">
      <x:alignment horizontal="center" vertical="center" wrapText="1"/>
    </x:xf>
    <x:xf numFmtId="0" fontId="26" fillId="16" borderId="0" xfId="0" applyNumberFormat="1" applyFont="1" applyFill="1" applyBorder="1" applyAlignment="1">
      <x:alignment horizontal="center" vertical="center" wrapText="1"/>
    </x:xf>
    <x:xf numFmtId="0" fontId="28" fillId="16" borderId="0" xfId="0" applyNumberFormat="1" applyFont="1" applyFill="1" applyBorder="1" applyAlignment="1">
      <x:alignment vertical="center" wrapText="1"/>
    </x:xf>
    <x:xf numFmtId="206" fontId="23" fillId="15" borderId="0" xfId="0" applyNumberFormat="1" applyFont="1" applyFill="1" applyBorder="1" applyAlignment="1">
      <x:alignment wrapText="1"/>
    </x:xf>
    <x:xf numFmtId="206" fontId="26" fillId="15" borderId="0" xfId="0" applyNumberFormat="1" applyFont="1" applyFill="1" applyBorder="1" applyAlignment="1">
      <x:alignment wrapText="1"/>
    </x:xf>
    <x:xf numFmtId="206" fontId="26" fillId="15" borderId="0" xfId="0" applyNumberFormat="1" applyFont="1" applyFill="1" applyBorder="1" applyAlignment="1">
      <x:alignment vertical="center" wrapText="1"/>
    </x:xf>
    <x:xf numFmtId="206" fontId="26" fillId="15" borderId="0" xfId="0" applyNumberFormat="1" applyFont="1" applyFill="1" applyBorder="1" applyAlignment="1">
      <x:alignment horizontal="center" vertical="center" wrapText="1"/>
    </x:xf>
    <x:xf numFmtId="210" fontId="23" fillId="16" borderId="0" xfId="0" applyNumberFormat="1" applyFont="1" applyFill="1" applyBorder="1" applyAlignment="1">
      <x:alignment wrapText="1"/>
    </x:xf>
    <x:xf numFmtId="210" fontId="26" fillId="16" borderId="0" xfId="0" applyNumberFormat="1" applyFont="1" applyFill="1" applyBorder="1" applyAlignment="1">
      <x:alignment wrapText="1"/>
    </x:xf>
    <x:xf numFmtId="210" fontId="26" fillId="16" borderId="0" xfId="0" applyNumberFormat="1" applyFont="1" applyFill="1" applyBorder="1" applyAlignment="1">
      <x:alignment vertical="center" wrapText="1"/>
    </x:xf>
    <x:xf numFmtId="210" fontId="26" fillId="16" borderId="0" xfId="0" applyNumberFormat="1" applyFont="1" applyFill="1" applyBorder="1" applyAlignment="1">
      <x:alignment horizontal="center" vertical="center" wrapText="1"/>
    </x:xf>
    <x:xf numFmtId="0" fontId="27" fillId="17" borderId="0" xfId="0" applyNumberFormat="1" applyFont="1" applyFill="1" applyBorder="1" applyAlignment="1">
      <x:alignment vertical="center" wrapText="1"/>
    </x:xf>
    <x:xf numFmtId="206" fontId="26" fillId="17" borderId="0" xfId="0" applyNumberFormat="1" applyFont="1" applyFill="1" applyBorder="1" applyAlignment="1">
      <x:alignment horizontal="center" vertical="center" wrapText="1"/>
    </x:xf>
    <x:xf numFmtId="0" fontId="26" fillId="17" borderId="0" xfId="0" applyNumberFormat="1" applyFont="1" applyFill="1" applyBorder="1" applyAlignment="1">
      <x:alignment horizontal="center" vertical="center" wrapText="1"/>
    </x:xf>
    <x:xf numFmtId="206" fontId="29" fillId="17" borderId="0" xfId="0" applyNumberFormat="1" applyFont="1" applyFill="1" applyBorder="1" applyAlignment="1">
      <x:alignment horizontal="center" vertical="center" wrapText="1"/>
    </x:xf>
    <x:xf numFmtId="0" fontId="29" fillId="17" borderId="0" xfId="0" applyNumberFormat="1" applyFont="1" applyFill="1" applyBorder="1" applyAlignment="1">
      <x:alignment horizontal="center" vertical="center" wrapText="1"/>
    </x:xf>
    <x:xf numFmtId="0" fontId="27" fillId="18" borderId="0" xfId="0" applyNumberFormat="1" applyFont="1" applyFill="1" applyBorder="1" applyAlignment="1">
      <x:alignment vertical="center" wrapText="1"/>
    </x:xf>
    <x:xf numFmtId="210" fontId="26" fillId="18" borderId="0" xfId="0" applyNumberFormat="1" applyFont="1" applyFill="1" applyBorder="1" applyAlignment="1">
      <x:alignment horizontal="center" vertical="center" wrapText="1"/>
    </x:xf>
    <x:xf numFmtId="0" fontId="26" fillId="18" borderId="0" xfId="0" applyNumberFormat="1" applyFont="1" applyFill="1" applyBorder="1" applyAlignment="1">
      <x:alignment horizontal="center" vertical="center" wrapText="1"/>
    </x:xf>
    <x:xf numFmtId="210" fontId="30" fillId="18" borderId="0" xfId="0" applyNumberFormat="1" applyFont="1" applyFill="1" applyBorder="1" applyAlignment="1">
      <x:alignment horizontal="center" vertical="center" wrapText="1"/>
    </x:xf>
    <x:xf numFmtId="0" fontId="30" fillId="18" borderId="0" xfId="0" applyNumberFormat="1" applyFont="1" applyFill="1" applyBorder="1" applyAlignment="1">
      <x:alignment horizontal="center" vertical="center" wrapText="1"/>
    </x:xf>
    <x:xf numFmtId="0" fontId="1" fillId="16" borderId="0" xfId="0" applyNumberFormat="1" applyFont="1" applyFill="1" applyBorder="1"/>
    <x:xf numFmtId="207" fontId="1" fillId="16" borderId="0" xfId="0" applyNumberFormat="1" applyFont="1" applyFill="1" applyBorder="1"/>
    <x:xf numFmtId="210" fontId="1" fillId="16" borderId="0" xfId="0" applyNumberFormat="1" applyFont="1" applyFill="1" applyBorder="1"/>
    <x:xf numFmtId="0" fontId="26" fillId="16" borderId="0" xfId="0" applyNumberFormat="1" applyFont="1" applyFill="1" applyBorder="1"/>
    <x:xf numFmtId="207" fontId="26" fillId="16" borderId="0" xfId="0" applyNumberFormat="1" applyFont="1" applyFill="1" applyBorder="1"/>
    <x:xf numFmtId="210" fontId="26" fillId="16" borderId="0" xfId="0" applyNumberFormat="1" applyFont="1" applyFill="1" applyBorder="1"/>
    <x:xf numFmtId="207" fontId="26" fillId="16" borderId="0" xfId="0" applyNumberFormat="1" applyFont="1" applyFill="1" applyBorder="1" applyAlignment="1">
      <x:alignment wrapText="1"/>
    </x:xf>
    <x:xf numFmtId="207" fontId="26" fillId="16" borderId="0" xfId="0" applyNumberFormat="1" applyFont="1" applyFill="1" applyBorder="1" applyAlignment="1">
      <x:alignment vertical="center" wrapText="1"/>
    </x:xf>
    <x:xf numFmtId="0" fontId="1" fillId="15" borderId="0" xfId="0" applyNumberFormat="1" applyFont="1" applyFill="1" applyBorder="1"/>
    <x:xf numFmtId="206" fontId="1" fillId="15" borderId="0" xfId="0" applyNumberFormat="1" applyFont="1" applyFill="1" applyBorder="1"/>
    <x:xf numFmtId="210" fontId="1" fillId="15" borderId="0" xfId="0" applyNumberFormat="1" applyFont="1" applyFill="1" applyBorder="1"/>
    <x:xf numFmtId="0" fontId="26" fillId="15" borderId="0" xfId="0" applyNumberFormat="1" applyFont="1" applyFill="1" applyBorder="1"/>
    <x:xf numFmtId="206" fontId="26" fillId="15" borderId="0" xfId="0" applyNumberFormat="1" applyFont="1" applyFill="1" applyBorder="1"/>
    <x:xf numFmtId="210" fontId="26" fillId="15" borderId="0" xfId="0" applyNumberFormat="1" applyFont="1" applyFill="1" applyBorder="1"/>
    <x:xf numFmtId="206" fontId="22" fillId="19" xfId="0" applyNumberFormat="1" applyFont="1" applyFill="1" applyBorder="0" applyAlignment="1">
      <x:alignment vertical="center" wrapText="1"/>
    </x:xf>
    <x:xf numFmtId="210" fontId="22" fillId="19" xfId="0" applyNumberFormat="1" applyFont="1" applyFill="1" applyBorder="0"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76ea371bf174e2d" /><Relationship Type="http://schemas.openxmlformats.org/officeDocument/2006/relationships/theme" Target="/xl/theme/theme1.xml" Id="Raf7dea14f4d445d0" /><Relationship Type="http://schemas.openxmlformats.org/officeDocument/2006/relationships/sharedStrings" Target="/xl/sharedStrings.xml" Id="R864e03cc408542b5" /><Relationship Type="http://schemas.openxmlformats.org/officeDocument/2006/relationships/worksheet" Target="/xl/worksheets/sheet1.xml" Id="R6ee86493f3a349e8" /><Relationship Type="http://schemas.openxmlformats.org/officeDocument/2006/relationships/worksheet" Target="/xl/worksheets/sheet2.xml" Id="Re44c6e1ad44d4600" /><Relationship Type="http://schemas.openxmlformats.org/officeDocument/2006/relationships/worksheet" Target="/xl/worksheets/sheet3.xml" Id="R8234d5afc27d4420" /><Relationship Type="http://schemas.openxmlformats.org/officeDocument/2006/relationships/worksheet" Target="/xl/worksheets/sheet4.xml" Id="R8e35fac94a394501" /><Relationship Type="http://schemas.openxmlformats.org/officeDocument/2006/relationships/worksheet" Target="/xl/worksheets/sheet5.xml" Id="R7f31870554d84093" /><Relationship Type="http://schemas.microsoft.com/office/2017/10/relationships/person" Target="/xl/persons/person.xml" Id="Raa6e42c5aed14090" /></Relationships>
</file>

<file path=xl/persons/person.xml><?xml version="1.0" encoding="utf-8"?>
<xltc:personList xmlns:xltc="http://schemas.microsoft.com/office/spreadsheetml/2018/threadedcomments">
  <xltc:person displayName="User" id="{D4799D23-6C7B-425A-B0BA-3675B88DB201}"/>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6" dT="2026-10-08T03:57:05.374" personId="{D4799D23-6C7B-425A-B0BA-3675B88DB201}" id="{88A1C5D8-E055-4113-B5DC-7907D799FDE4}">
    <xltc:text>Source: 04 Customer_Projects/AsterVale/01_Procurement/AsterVale_Opportunity_Brief.md | Snapshot 2026-10-01, §6, workload and cost baseline | §6: 24 completed packages/month × 12 = 288 annual tasks.</xltc:text>
  </xltc:threadedComment>
  <xltc:threadedComment ref="C6" dT="2026-10-08T03:57:05.375" personId="{D4799D23-6C7B-425A-B0BA-3675B88DB201}" id="{32FEB2D1-0E02-4E87-9DFD-F9EDD20D3E3B}">
    <xltc:text>Source: 04 Customer_Projects/AsterVale/01_Procurement/AsterVale_Opportunity_Brief.md | Snapshot 2026-10-01, §6, workload and cost baseline | §6: 14 preparation hours/package × 60 minutes = 840 baseline minutes/task.</xltc:text>
  </xltc:threadedComment>
  <xltc:threadedComment ref="B7" dT="2026-10-08T03:57:05.375" personId="{D4799D23-6C7B-425A-B0BA-3675B88DB201}" id="{CC489177-830E-40F8-AFE1-80231CC6DEFE}">
    <xltc:text>Source: 04 Customer_Projects/AsterVale/01_Procurement/AsterVale_Opportunity_Brief.md | Snapshot 2026-10-01, §6, workload and cost baseline | §6: 80 completed packages/month × 12 = 960 annual tasks.</xltc:text>
  </xltc:threadedComment>
  <xltc:threadedComment ref="C7" dT="2026-10-08T03:57:05.375" personId="{D4799D23-6C7B-425A-B0BA-3675B88DB201}" id="{350BF28F-FCFC-44BA-892F-E415FC03EE32}">
    <xltc:text>Source: 04 Customer_Projects/AsterVale/01_Procurement/AsterVale_Opportunity_Brief.md | Snapshot 2026-10-01, §6, workload and cost baseline | §6: 3 preparation hours/package × 60 minutes = 180 baseline minutes/task.</xltc:text>
  </xltc:threadedComment>
  <xltc:threadedComment ref="B8" dT="2026-10-08T03:57:05.375" personId="{D4799D23-6C7B-425A-B0BA-3675B88DB201}" id="{D50D5006-0800-4F7B-8EB2-481C4D0E5578}">
    <xltc:text>Source: 04 Customer_Projects/AsterVale/01_Procurement/AsterVale_Opportunity_Brief.md | Snapshot 2026-10-01, §6, workload and cost baseline | §6: 48 completed packages/month × 12 = 576 annual tasks.</xltc:text>
  </xltc:threadedComment>
  <xltc:threadedComment ref="C8" dT="2026-10-08T03:57:05.375" personId="{D4799D23-6C7B-425A-B0BA-3675B88DB201}" id="{8614CB67-8512-44C4-8C61-45CA9E95E86C}">
    <xltc:text>Source: 04 Customer_Projects/AsterVale/01_Procurement/AsterVale_Opportunity_Brief.md | Snapshot 2026-10-01, §6, workload and cost baseline | §6: 5 preparation hours/package × 60 minutes = 300 baseline minutes/task.</xltc:text>
  </xltc:threadedComment>
</xltc:ThreadedComments>
</file>

<file path=xl/threadedcomments/threadedcomment2.xml><?xml version="1.0" encoding="utf-8"?>
<xltc:ThreadedComments xmlns:xltc="http://schemas.microsoft.com/office/spreadsheetml/2018/threadedcomments">
  <xltc:threadedComment ref="B6" dT="2026-10-08T03:57:05.372" personId="{D4799D23-6C7B-425A-B0BA-3675B88DB201}" id="{65A90AE2-35D7-4849-8949-AA4469B0B999}">
    <xltc:text>Source: 04 Customer_Projects/AsterVale/01_Procurement/AsterVale_Opportunity_Brief.md | Header, opportunity AV-2026-041.</xltc:text>
  </xltc:threadedComment>
  <xltc:threadedComment ref="B7" dT="2026-10-08T03:57:05.373" personId="{D4799D23-6C7B-425A-B0BA-3675B88DB201}" id="{9642F2D9-867B-4143-A286-164975DAB947}">
    <xltc:text>Source: 04 Customer_Projects/AsterVale/02_Clarifications_and_Quote/AsterVale_Quote.xlsx | AV-Q-2026-041 v1.0; Quote / Scope and conditions | Quote row 20 (planned service start). Date is subject to executed order.</xltc:text>
  </xltc:threadedComment>
  <xltc:threadedComment ref="B8" dT="2026-10-08T03:57:05.373" personId="{D4799D23-6C7B-425A-B0BA-3675B88DB201}" id="{D0EC838B-5857-4E4E-A499-EB71B81B0B1D}">
    <xltc:text>Source: 04 Customer_Projects/AsterVale/02_Clarifications_and_Quote/AsterVale_Quote.xlsx | AV-Q-2026-041 v1.0; Quote / Scope and conditions | Quote heading and fee table, USD.</xltc:text>
  </xltc:threadedComment>
  <xltc:threadedComment ref="B9" dT="2026-10-08T03:57:05.373" personId="{D4799D23-6C7B-425A-B0BA-3675B88DB201}" id="{5856F379-B0AC-4BB2-A63E-FEA467CA5115}">
    <xltc:text>Source: 04 Customer_Projects/AsterVale/02_Clarifications_and_Quote/AsterVale_Quote.xlsx | AV-Q-2026-041 v1.0; Quote / Scope and conditions | Quote rows 14–15; tax excluded and separately itemized, amount not stated.</xltc:text>
  </xltc:threadedComment>
  <xltc:threadedComment ref="B10" dT="2026-10-08T03:57:05.373" personId="{D4799D23-6C7B-425A-B0BA-3675B88DB201}" id="{E5A66A54-DB14-468E-A8FA-47612EF367A3}">
    <xltc:text>Source: 04 Customer_Projects/AsterVale/02_Clarifications_and_Quote/AsterVale_Quote.xlsx | AV-Q-2026-041 v1.0; Quote / Scope and conditions | Quote row 6, 60 seats at $1,080/year. Year 2–3 are renewal-at-current-rate assumptions, not a fixed multiyear price.</xltc:text>
  </xltc:threadedComment>
  <xltc:threadedComment ref="C10" dT="2026-10-08T03:57:05.373" personId="{D4799D23-6C7B-425A-B0BA-3675B88DB201}" id="{7045EEBD-7A00-425B-87BB-3A02B1251D68}">
    <xltc:text>Source: 04 Customer_Projects/AsterVale/02_Clarifications_and_Quote/AsterVale_Quote.xlsx | AV-Q-2026-041 v1.0; Quote / Scope and conditions | Quote row 6, 60 seats at $1,080/year. Year 2–3 are renewal-at-current-rate assumptions, not a fixed multiyear price.</xltc:text>
  </xltc:threadedComment>
  <xltc:threadedComment ref="D10" dT="2026-10-08T03:57:05.373" personId="{D4799D23-6C7B-425A-B0BA-3675B88DB201}" id="{2EADBB46-5C09-40FE-B91C-46B4664F5732}">
    <xltc:text>Source: 04 Customer_Projects/AsterVale/02_Clarifications_and_Quote/AsterVale_Quote.xlsx | AV-Q-2026-041 v1.0; Quote / Scope and conditions | Quote row 6, 60 seats at $1,080/year. Year 2–3 are renewal-at-current-rate assumptions, not a fixed multiyear price.</xltc:text>
  </xltc:threadedComment>
  <xltc:threadedComment ref="B11" dT="2026-10-08T03:57:05.373" personId="{D4799D23-6C7B-425A-B0BA-3675B88DB201}" id="{3DC1C6F9-400C-4293-BCC1-A3737C66A468}">
    <xltc:text>Source: 04 Customer_Projects/AsterVale/02_Clarifications_and_Quote/AsterVale_Quote.xlsx | AV-Q-2026-041 v1.0; Quote / Scope and conditions | Quote row 7, annual support $4,800. Year 2–3 are renewal-at-current-rate assumptions.</xltc:text>
  </xltc:threadedComment>
  <xltc:threadedComment ref="C11" dT="2026-10-08T03:57:05.373" personId="{D4799D23-6C7B-425A-B0BA-3675B88DB201}" id="{23629084-8021-491F-ACBC-C89140DB8CBF}">
    <xltc:text>Source: 04 Customer_Projects/AsterVale/02_Clarifications_and_Quote/AsterVale_Quote.xlsx | AV-Q-2026-041 v1.0; Quote / Scope and conditions | Quote row 7, annual support $4,800. Year 2–3 are renewal-at-current-rate assumptions.</xltc:text>
  </xltc:threadedComment>
  <xltc:threadedComment ref="D11" dT="2026-10-08T03:57:05.374" personId="{D4799D23-6C7B-425A-B0BA-3675B88DB201}" id="{1AFE113A-3809-4CAB-93AA-135947844B4F}">
    <xltc:text>Source: 04 Customer_Projects/AsterVale/02_Clarifications_and_Quote/AsterVale_Quote.xlsx | AV-Q-2026-041 v1.0; Quote / Scope and conditions | Quote row 7, annual support $4,800. Year 2–3 are renewal-at-current-rate assumptions.</xltc:text>
  </xltc:threadedComment>
  <xltc:threadedComment ref="B12" dT="2026-10-08T03:57:05.374" personId="{D4799D23-6C7B-425A-B0BA-3675B88DB201}" id="{409E4D70-5812-4857-963B-B284FE696C5A}">
    <xltc:text>Assumption: $0 other incremental annual cash costs identified in the supplied baseline/quote. Tax and optional Credit packs excluded.</xltc:text>
  </xltc:threadedComment>
  <xltc:threadedComment ref="C12" dT="2026-10-08T03:57:05.374" personId="{D4799D23-6C7B-425A-B0BA-3675B88DB201}" id="{884CDAB5-224E-4C48-BB8C-FD4FCAAFD77D}">
    <xltc:text>Assumption: $0 other incremental annual cash costs identified in the supplied baseline/quote. Tax and optional Credit packs excluded.</xltc:text>
  </xltc:threadedComment>
  <xltc:threadedComment ref="D12" dT="2026-10-08T03:57:05.374" personId="{D4799D23-6C7B-425A-B0BA-3675B88DB201}" id="{948789A2-2449-4DC7-82E0-5931EB063FBF}">
    <xltc:text>Assumption: $0 other incremental annual cash costs identified in the supplied baseline/quote. Tax and optional Credit packs excluded.</xltc:text>
  </xltc:threadedComment>
  <xltc:threadedComment ref="B13" dT="2026-10-08T03:57:05.374" personId="{D4799D23-6C7B-425A-B0BA-3675B88DB201}" id="{B2C01290-FAC5-4CEA-A3D0-DDCBBB8BA68F}">
    <xltc:text>Source: 04 Customer_Projects/AsterVale/02_Clarifications_and_Quote/AsterVale_Quote.xlsx | AV-Q-2026-041 v1.0; Quote / Scope and conditions | Quote row 8, one-time implementation $9,600.</xltc:text>
  </xltc:threadedComment>
  <xltc:threadedComment ref="B14" dT="2026-10-08T03:57:05.374" personId="{D4799D23-6C7B-425A-B0BA-3675B88DB201}" id="{54338C73-774F-4E56-B77B-BD9B8094FD45}">
    <xltc:text>Source: 04 Customer_Projects/AsterVale/02_Clarifications_and_Quote/AsterVale_Quote.xlsx | AV-Q-2026-041 v1.0; Quote / Scope and conditions | Quote row 22, 50% kickoff / 50% after acceptance.</xltc:text>
  </xltc:threadedComment>
  <xltc:threadedComment ref="B15" dT="2026-10-08T03:57:05.374" personId="{D4799D23-6C7B-425A-B0BA-3675B88DB201}" id="{D03169CD-CB77-4473-98F4-CEA9B23A4FB0}">
    <xltc:text>Assumption: kickoff cash payment in model month 1, aligned to planned service start.</xltc:text>
  </xltc:threadedComment>
  <xltc:threadedComment ref="B16" dT="2026-10-08T03:57:05.374" personId="{D4799D23-6C7B-425A-B0BA-3675B88DB201}" id="{5EA2EBF9-EB67-4D5B-BE5E-87CC794F7456}">
    <xltc:text>Assumption: model month 2 acceptance payment; the quote specifies a six-calendar-week delivery period but not an exact milestone date. 04 Customer_Projects/AsterVale/02_Clarifications_and_Quote/AsterVale_Quote.xlsx | AV-Q-2026-041 v1.0; Quote / Scope and conditions | Quote rows 8, 22.</xltc:text>
  </xltc:threadedComment>
  <xltc:threadedComment ref="B17" dT="2026-10-08T03:57:05.374" personId="{D4799D23-6C7B-425A-B0BA-3675B88DB201}" id="{D206697A-544C-4B2F-82D6-6CEAEF76C086}">
    <xltc:text>Assumption: $0 other one-time incremental cash cost identified; keep staff time in the separate internal-capacity inputs.</xltc:text>
  </xltc:threadedComment>
  <xltc:threadedComment ref="B18" dT="2026-10-08T03:57:05.374" personId="{D4799D23-6C7B-425A-B0BA-3675B88DB201}" id="{A0FF991F-5DC4-4D1F-B5D2-9D0A7AE34C90}">
    <xltc:text>Source: 04 Customer_Projects/AsterVale/01_Procurement/AsterVale_Opportunity_Brief.md | Snapshot 2026-10-01, §6, workload and cost baseline | §6, one-time internal setup and configuration: 96 hours.</xltc:text>
  </xltc:threadedComment>
  <xltc:threadedComment ref="B19" dT="2026-10-08T03:57:05.374" personId="{D4799D23-6C7B-425A-B0BA-3675B88DB201}" id="{8C6C10E4-E75B-48CF-BBDF-5A49F7CEBA15}">
    <xltc:text>Source: 04 Customer_Projects/AsterVale/01_Procurement/AsterVale_Opportunity_Brief.md | Snapshot 2026-10-01, §6, workload and cost baseline | §6, 60 users × 3 hours each = 180 internal training hours.</xltc:text>
  </xltc:threadedComment>
  <xltc:threadedComment ref="B20" dT="2026-10-08T03:57:05.374" personId="{D4799D23-6C7B-425A-B0BA-3675B88DB201}" id="{4F8CBCA6-050F-4E46-A249-5CF32C108E5B}">
    <xltc:text>Source: 04 Customer_Projects/AsterVale/01_Procurement/AsterVale_Opportunity_Brief.md | Snapshot 2026-10-01, §6, workload and cost baseline | §6, Finance-confirmed $85 loaded cost/hour; allocation basis only, not bill rate or incremental cash.</xltc:text>
  </xltc:threadedComment>
  <xltc:threadedComment ref="B21" dT="2026-10-08T03:57:05.374" personId="{D4799D23-6C7B-425A-B0BA-3675B88DB201}" id="{814A5CB2-FAD5-4851-9664-31D40075604D}">
    <xltc:text>Source: 04 Customer_Projects/AsterVale/01_Procurement/AsterVale_Opportunity_Brief.md | Snapshot 2026-10-01, §6, workload and cost baseline | §6, ongoing administration 8 internal hours/month.</xltc:text>
  </xltc:threadedComment>
  <xltc:threadedComment ref="B22" dT="2026-10-08T03:57:05.374" personId="{D4799D23-6C7B-425A-B0BA-3675B88DB201}" id="{A070E5F7-5442-41F0-A5B3-5F2982174A64}">
    <xltc:text>Assumption: 10% annual effective discount rate. No customer discount-rate input was provided.</xltc:text>
  </xltc:threadedComment>
  <xltc:threadedComment ref="B23" dT="2026-10-08T03:57:05.374" personId="{D4799D23-6C7B-425A-B0BA-3675B88DB201}" id="{ACBF7FE7-D6FD-4383-ADD7-656FB02D153D}">
    <xltc:text>Assumption: Year 2 and Year 3 start at 100% of steady-state adoption. Validate after pilot.</xltc:text>
  </xltc:threadedComment>
  <xltc:threadedComment ref="B24" dT="2026-10-08T03:57:05.374" personId="{D4799D23-6C7B-425A-B0BA-3675B88DB201}" id="{19892188-1A01-45A4-B0AA-79ABE7780E5F}">
    <xltc:text>Model control: 1 selects Planning; 2 selects Conservative. Opening view is Planning.</xltc:text>
  </xltc:threadedComment>
  <xltc:threadedComment ref="B25" dT="2026-10-08T03:57:05.374" personId="{D4799D23-6C7B-425A-B0BA-3675B88DB201}" id="{DB9588A8-D762-4C27-8CA3-9C2391EF9AF8}">
    <xltc:text>Validation required: pilot results; quote issue/effective date; applicable tax; executed contract terms; renewal pricing.</xltc:text>
  </xltc:threadedComment>
  <xltc:threadedComment ref="B29" dT="2026-10-08T03:57:05.374" personId="{D4799D23-6C7B-425A-B0BA-3675B88DB201}" id="{5FE3783A-E716-4E20-8493-BFA9A456E061}">
    <xltc:text>Source: 04 Customer_Projects/AsterVale/01_Procurement/AsterVale_Opportunity_Brief.md | Snapshot 2026-10-01, §6, workload and cost baseline | §6, 35% reduction requested as initial planning assumption, unproven.</xltc:text>
  </xltc:threadedComment>
  <xltc:threadedComment ref="C29" dT="2026-10-08T03:57:05.374" personId="{D4799D23-6C7B-425A-B0BA-3675B88DB201}" id="{06BF0F4D-820E-4A44-917B-54134FE7E5B9}">
    <xltc:text>Assumption: 20% conservative sensitivity, not customer-confirmed or measured.</xltc:text>
  </xltc:threadedComment>
  <xltc:threadedComment ref="B30" dT="2026-10-08T03:57:05.374" personId="{D4799D23-6C7B-425A-B0BA-3675B88DB201}" id="{A29AD822-C81D-4C0C-9214-7EA684C007D8}">
    <xltc:text>Source: 04 Customer_Projects/AsterVale/01_Procurement/AsterVale_Opportunity_Brief.md | Snapshot 2026-10-01, §6, workload and cost baseline | §6, 70% effective adoption requested as initial planning assumption, unproven.</xltc:text>
  </xltc:threadedComment>
  <xltc:threadedComment ref="C30" dT="2026-10-08T03:57:05.374" personId="{D4799D23-6C7B-425A-B0BA-3675B88DB201}" id="{69C62EB8-3A4C-4EB1-9704-44AC0769B0D9}">
    <xltc:text>Assumption: 50% conservative sensitivity, not customer-confirmed or measured.</xltc:text>
  </xltc:threadedComment>
  <xltc:threadedComment ref="B31" dT="2026-10-08T03:57:05.374" personId="{D4799D23-6C7B-425A-B0BA-3675B88DB201}" id="{D3133B7D-3C48-4D7C-98E2-C797C5BE94A5}">
    <xltc:text>Assumption: 100% of released hours receives productive alternative use for economic capacity valuation; this does not convert value to cash.</xltc:text>
  </xltc:threadedComment>
  <xltc:threadedComment ref="C31" dT="2026-10-08T03:57:05.374" personId="{D4799D23-6C7B-425A-B0BA-3675B88DB201}" id="{BCAD17F4-7203-49B5-BB05-BA319FD76D22}">
    <xltc:text>Assumption: 75% of released hours receives productive alternative use in conservative sensitivity; this does not convert value to cash.</xltc:text>
  </xltc:threadedComment>
  <xltc:threadedComment ref="B32" dT="2026-10-08T03:57:05.374" personId="{D4799D23-6C7B-425A-B0BA-3675B88DB201}" id="{F9A52FA7-F2D2-4954-8130-C2AB587DA870}">
    <xltc:text>Source check: 04 Customer_Projects/AsterVale/01_Procurement/AsterVale_Opportunity_Brief.md | Snapshot 2026-10-01, §6, workload and cost baseline | §6 states no headcount reduction is authorized. No other documented spend reduction supplied; $0 cash savings modeled.</xltc:text>
  </xltc:threadedComment>
  <xltc:threadedComment ref="C32" dT="2026-10-08T03:57:05.374" personId="{D4799D23-6C7B-425A-B0BA-3675B88DB201}" id="{3A8157E2-8A0B-440D-9B91-E03BF02F7056}">
    <xltc:text>Assumption: $0 evidenced cash savings; retain $0 until an actual spending reduction is documented.</xltc:text>
  </xltc:threadedComment>
  <xltc:threadedComment ref="B33" dT="2026-10-08T03:57:05.374" personId="{D4799D23-6C7B-425A-B0BA-3675B88DB201}" id="{D90A5613-84B3-48FE-9D65-DC2A2678D2D7}">
    <xltc:text>Assumption: $0 overlap deduction because modeled cash savings are $0.</xltc:text>
  </xltc:threadedComment>
  <xltc:threadedComment ref="C33" dT="2026-10-08T03:57:05.374" personId="{D4799D23-6C7B-425A-B0BA-3675B88DB201}" id="{1A8B37A6-4FDF-4CE2-B93B-DF63BE2058D4}">
    <xltc:text>Assumption: $0 overlap deduction because modeled cash savings are $0.</xltc:text>
  </xltc:threadedComment>
  <xltc:threadedComment ref="B37" dT="2026-10-08T03:57:05.374" personId="{D4799D23-6C7B-425A-B0BA-3675B88DB201}" id="{A1039AE5-7240-428C-B5EB-342A79FA4FF5}">
    <xltc:text>Assumption: Year 1 month 1, no benefit during modeled six-week implementation period. Benefit begins in model month 3 (February 2027) after planned 1 Dec 2026 start; validate timing/ramp in pilot.</xltc:text>
  </xltc:threadedComment>
  <xltc:threadedComment ref="B38" dT="2026-10-08T03:57:05.374" personId="{D4799D23-6C7B-425A-B0BA-3675B88DB201}" id="{B13A7FFA-3539-4F71-9673-DBF5DB8CD48B}">
    <xltc:text>Assumption: Year 1 month 2, no benefit during modeled six-week implementation period. Benefit begins in model month 3 (February 2027) after planned 1 Dec 2026 start; validate timing/ramp in pilot.</xltc:text>
  </xltc:threadedComment>
  <xltc:threadedComment ref="B39" dT="2026-10-08T03:57:05.374" personId="{D4799D23-6C7B-425A-B0BA-3675B88DB201}" id="{CBECC9DF-E7D9-4767-A6B6-45DEFD795DA4}">
    <xltc:text>Assumption: Year 1 month 3, 25% relative-to-steady-state adoption ramp. Benefit begins in model month 3 (February 2027) after planned 1 Dec 2026 start; validate timing/ramp in pilot.</xltc:text>
  </xltc:threadedComment>
  <xltc:threadedComment ref="B40" dT="2026-10-08T03:57:05.374" personId="{D4799D23-6C7B-425A-B0BA-3675B88DB201}" id="{558D0F62-D756-43A4-A6DF-953D4335E8A6}">
    <xltc:text>Assumption: Year 1 month 4, 50% relative-to-steady-state adoption ramp. Benefit begins in model month 3 (February 2027) after planned 1 Dec 2026 start; validate timing/ramp in pilot.</xltc:text>
  </xltc:threadedComment>
  <xltc:threadedComment ref="B41" dT="2026-10-08T03:57:05.374" personId="{D4799D23-6C7B-425A-B0BA-3675B88DB201}" id="{E45EA2F6-DAE4-47FE-BA2F-41ABBA73D4AC}">
    <xltc:text>Assumption: Year 1 month 5, 75% relative-to-steady-state adoption ramp. Benefit begins in model month 3 (February 2027) after planned 1 Dec 2026 start; validate timing/ramp in pilot.</xltc:text>
  </xltc:threadedComment>
  <xltc:threadedComment ref="B42" dT="2026-10-08T03:57:05.374" personId="{D4799D23-6C7B-425A-B0BA-3675B88DB201}" id="{461EE59F-B22A-4954-8DAF-D1F170550E4A}">
    <xltc:text>Assumption: Year 1 month 6, 100% relative-to-steady-state adoption ramp. Benefit begins in model month 3 (February 2027) after planned 1 Dec 2026 start; validate timing/ramp in pilot.</xltc:text>
  </xltc:threadedComment>
  <xltc:threadedComment ref="B43" dT="2026-10-08T03:57:05.374" personId="{D4799D23-6C7B-425A-B0BA-3675B88DB201}" id="{122B5700-48BD-4548-A23A-D3F50F16985A}">
    <xltc:text>Assumption: Year 1 month 7, 100% relative-to-steady-state adoption ramp. Benefit begins in model month 3 (February 2027) after planned 1 Dec 2026 start; validate timing/ramp in pilot.</xltc:text>
  </xltc:threadedComment>
  <xltc:threadedComment ref="B44" dT="2026-10-08T03:57:05.374" personId="{D4799D23-6C7B-425A-B0BA-3675B88DB201}" id="{6239A7C0-853F-46D5-9CF4-70F26CD425E5}">
    <xltc:text>Assumption: Year 1 month 8, 100% relative-to-steady-state adoption ramp. Benefit begins in model month 3 (February 2027) after planned 1 Dec 2026 start; validate timing/ramp in pilot.</xltc:text>
  </xltc:threadedComment>
  <xltc:threadedComment ref="B45" dT="2026-10-08T03:57:05.374" personId="{D4799D23-6C7B-425A-B0BA-3675B88DB201}" id="{CFBACEA5-4017-44D9-9529-3782E143B6C1}">
    <xltc:text>Assumption: Year 1 month 9, 100% relative-to-steady-state adoption ramp. Benefit begins in model month 3 (February 2027) after planned 1 Dec 2026 start; validate timing/ramp in pilot.</xltc:text>
  </xltc:threadedComment>
  <xltc:threadedComment ref="B46" dT="2026-10-08T03:57:05.374" personId="{D4799D23-6C7B-425A-B0BA-3675B88DB201}" id="{F46010B6-FB17-4AD5-AA0E-7911D077600B}">
    <xltc:text>Assumption: Year 1 month 10, 100% relative-to-steady-state adoption ramp. Benefit begins in model month 3 (February 2027) after planned 1 Dec 2026 start; validate timing/ramp in pilot.</xltc:text>
  </xltc:threadedComment>
  <xltc:threadedComment ref="B47" dT="2026-10-08T03:57:05.374" personId="{D4799D23-6C7B-425A-B0BA-3675B88DB201}" id="{E134C91F-0483-4016-AEBC-F26D6C48A9CB}">
    <xltc:text>Assumption: Year 1 month 11, 100% relative-to-steady-state adoption ramp. Benefit begins in model month 3 (February 2027) after planned 1 Dec 2026 start; validate timing/ramp in pilot.</xltc:text>
  </xltc:threadedComment>
  <xltc:threadedComment ref="B48" dT="2026-10-08T03:57:05.374" personId="{D4799D23-6C7B-425A-B0BA-3675B88DB201}" id="{2F73BF8B-1EB4-404C-8918-FB89EEF61E0C}">
    <xltc:text>Assumption: Year 1 month 12, 100% relative-to-steady-state adoption ramp. Benefit begins in model month 3 (February 2027) after planned 1 Dec 2026 start; validate timing/ramp in pilot.</xltc:text>
  </xltc:threadedComment>
</xltc:ThreadedComments>
</file>

<file path=xl/worksheets/_rels/sheet3.xml.rels>&#65279;<?xml version="1.0" encoding="utf-8"?><Relationships xmlns="http://schemas.openxmlformats.org/package/2006/relationships"><Relationship Type="http://schemas.openxmlformats.org/officeDocument/2006/relationships/comments" Target="/xl/comments1.xml" Id="R2c84e226d8234e7c" /><Relationship Type="http://schemas.openxmlformats.org/officeDocument/2006/relationships/vmlDrawing" Target="/xl/drawings/vmldrawing.vml" Id="R2f812ac0234d4c08" /><Relationship Type="http://schemas.microsoft.com/office/2017/10/relationships/threadedComment" Target="/xl/threadedcomments/threadedcomment.xml" Id="R65da1cfd7a50450a" /></Relationships>
</file>

<file path=xl/worksheets/_rels/sheet4.xml.rels>&#65279;<?xml version="1.0" encoding="utf-8"?><Relationships xmlns="http://schemas.openxmlformats.org/package/2006/relationships"><Relationship Type="http://schemas.openxmlformats.org/officeDocument/2006/relationships/comments" Target="/xl/comments2.xml" Id="R7a34dd80d8b34f61" /><Relationship Type="http://schemas.openxmlformats.org/officeDocument/2006/relationships/vmlDrawing" Target="/xl/drawings/vmldrawing2.vml" Id="R4b0a053d21cc46ae" /><Relationship Type="http://schemas.microsoft.com/office/2017/10/relationships/threadedComment" Target="/xl/threadedcomments/threadedcomment2.xml" Id="R4f070a2f29494a11" /></Relationships>
</file>

<file path=xl/worksheets/sheet1.xml><?xml version="1.0" encoding="utf-8"?>
<x:worksheet xmlns:x="http://schemas.openxmlformats.org/spreadsheetml/2006/main">
  <x:sheetViews>
    <x:sheetView showGridLines="0" workbookViewId="0"/>
  </x:sheetViews>
  <x:sheetFormatPr defaultRowHeight="15"/>
  <x:cols>
    <x:col min="1" max="1" width="35" hidden="0" customWidth="1"/>
    <x:col min="2" max="2" width="18" hidden="0" customWidth="1"/>
    <x:col min="3" max="3" width="18" hidden="0" customWidth="1"/>
    <x:col min="4" max="4" width="18" hidden="0" customWidth="1"/>
    <x:col min="5" max="5" width="72" hidden="0" customWidth="1"/>
  </x:cols>
  <x:sheetData>
    <x:row r="1" ht="10" customHeight="1">
      <x:c r="A1" s="76"/>
      <x:c r="B1" s="77"/>
      <x:c r="C1" s="77"/>
      <x:c r="D1" s="77"/>
      <x:c r="E1" s="78"/>
    </x:row>
    <x:row r="2" ht="34" customHeight="1">
      <x:c r="A2" s="82" t="str">
        <x:v>AsterVale | ROI and pilot decision</x:v>
      </x:c>
      <x:c r="B2" s="72"/>
      <x:c r="C2" s="72"/>
      <x:c r="D2" s="72"/>
      <x:c r="E2" s="69"/>
    </x:row>
    <x:row r="3" ht="25" customHeight="1">
      <x:c r="A3" s="83" t="str">
        <x:v>Planning estimate · USD before tax · Year 1: 1 Dec 2026–30 Nov 2027 · Capacity value is not cash savings.</x:v>
      </x:c>
      <x:c r="B3" s="72"/>
      <x:c r="C3" s="72"/>
      <x:c r="D3" s="72"/>
      <x:c r="E3" s="69"/>
    </x:row>
    <x:row r="4" ht="10" customHeight="1">
      <x:c r="A4" s="67"/>
      <x:c r="B4" s="72"/>
      <x:c r="C4" s="72"/>
      <x:c r="D4" s="72"/>
      <x:c r="E4" s="69"/>
    </x:row>
    <x:row r="5" ht="30" customHeight="1">
      <x:c r="A5" s="90" t="str">
        <x:v>Metric</x:v>
      </x:c>
      <x:c r="B5" s="102" t="str">
        <x:v>Year 1</x:v>
      </x:c>
      <x:c r="C5" s="102" t="str">
        <x:v>Year 2</x:v>
      </x:c>
      <x:c r="D5" s="102" t="str">
        <x:v>Year 3</x:v>
      </x:c>
      <x:c r="E5" s="92" t="str">
        <x:v>Interpretation</x:v>
      </x:c>
    </x:row>
    <x:row r="6" ht="42" customHeight="1">
      <x:c r="A6" s="64" t="str">
        <x:v>Capacity hours saved</x:v>
      </x:c>
      <x:c r="B6" s="103" t="n">
        <x:f>IF(COUNT('Cashflow'!D6:D17)=12,SUM('Cashflow'!D6:D17),"Not calculated")</x:f>
        <x:v>1699.3200000000002</x:v>
      </x:c>
      <x:c r="C6" s="103" t="n">
        <x:f>IF(COUNT('Cashflow'!D18:D29)=12,SUM('Cashflow'!D18:D29),"Not calculated")</x:f>
        <x:v>2399.0400000000004</x:v>
      </x:c>
      <x:c r="D6" s="103" t="n">
        <x:f>IF(COUNT('Cashflow'!D30:D41)=12,SUM('Cashflow'!D30:D41),"Not calculated")</x:f>
        <x:v>2399.0400000000004</x:v>
      </x:c>
      <x:c r="E6" s="109" t="str">
        <x:v>Released hours after time reduction, effective adoption and the period ramp.</x:v>
      </x:c>
    </x:row>
    <x:row r="7" ht="36" customHeight="1">
      <x:c r="A7" s="100" t="str">
        <x:v>Capacity value</x:v>
      </x:c>
      <x:c r="B7" s="212" t="n">
        <x:f>IF(COUNT('Cashflow'!E6:E17)=12,SUM('Cashflow'!E6:E17),"Not calculated")</x:f>
        <x:v>144442.19999999998</x:v>
      </x:c>
      <x:c r="C7" s="212" t="n">
        <x:f>IF(COUNT('Cashflow'!E18:E29)=12,SUM('Cashflow'!E18:E29),"Not calculated")</x:f>
        <x:v>203918.40000000005</x:v>
      </x:c>
      <x:c r="D7" s="212" t="n">
        <x:f>IF(COUNT('Cashflow'!E30:E41)=12,SUM('Cashflow'!E30:E41),"Not calculated")</x:f>
        <x:v>203918.40000000005</x:v>
      </x:c>
      <x:c r="E7" s="110" t="str">
        <x:v>Value of released capacity; not a spending reduction.</x:v>
      </x:c>
    </x:row>
    <x:row r="8" ht="42" customHeight="1">
      <x:c r="A8" s="64" t="str">
        <x:v>Realized cash savings</x:v>
      </x:c>
      <x:c r="B8" s="213" t="n">
        <x:f>IF(COUNT('Cashflow'!F6:F17)=12,SUM('Cashflow'!F6:F17),"Not calculated")</x:f>
        <x:v>0</x:v>
      </x:c>
      <x:c r="C8" s="213" t="n">
        <x:f>IF(COUNT('Cashflow'!F18:F29)=12,SUM('Cashflow'!F18:F29),"Not calculated")</x:f>
        <x:v>0</x:v>
      </x:c>
      <x:c r="D8" s="213" t="n">
        <x:f>IF(COUNT('Cashflow'!F30:F41)=12,SUM('Cashflow'!F30:F41),"Not calculated")</x:f>
        <x:v>0</x:v>
      </x:c>
      <x:c r="E8" s="109" t="str">
        <x:v>Full documented cash savings after benefit ramp; economic overlap does not reduce this cash flow.</x:v>
      </x:c>
    </x:row>
    <x:row r="9" ht="42" customHeight="1">
      <x:c r="A9" s="111" t="str">
        <x:v>Total economic benefit</x:v>
      </x:c>
      <x:c r="B9" s="214" t="n">
        <x:f>IF(AND(COUNT(B7:B8)=2,ISNUMBER(B21)),SUM(B7:B8)-B21,"Not calculated")</x:f>
        <x:v>144442.19999999998</x:v>
      </x:c>
      <x:c r="C9" s="214" t="n">
        <x:f>IF(AND(COUNT(C7:C8)=2,ISNUMBER(C21)),SUM(C7:C8)-C21,"Not calculated")</x:f>
        <x:v>203918.40000000005</x:v>
      </x:c>
      <x:c r="D9" s="214" t="n">
        <x:f>IF(AND(COUNT(D7:D8)=2,ISNUMBER(D21)),SUM(D7:D8)-D21,"Not calculated")</x:f>
        <x:v>203918.40000000005</x:v>
      </x:c>
      <x:c r="E9" s="110" t="str">
        <x:v>Capacity value plus full cash savings, less economic overlap deduction in row 21.</x:v>
      </x:c>
    </x:row>
    <x:row r="10" ht="36" customHeight="1">
      <x:c r="A10" s="64" t="str">
        <x:v>Vendor cash payments</x:v>
      </x:c>
      <x:c r="B10" s="213" t="n">
        <x:f>IF(COUNT('Cashflow'!G6:G17,'Cashflow'!H6:H17)=24,SUM('Cashflow'!G6:G17,'Cashflow'!H6:H17),"Not calculated")</x:f>
        <x:v>79200</x:v>
      </x:c>
      <x:c r="C10" s="213" t="n">
        <x:f>IF(COUNT('Cashflow'!G18:G29,'Cashflow'!H18:H29)=24,SUM('Cashflow'!G18:G29,'Cashflow'!H18:H29),"Not calculated")</x:f>
        <x:v>69600</x:v>
      </x:c>
      <x:c r="D10" s="213" t="n">
        <x:f>IF(COUNT('Cashflow'!G30:G41,'Cashflow'!H30:H41)=24,SUM('Cashflow'!G30:G41,'Cashflow'!H30:H41),"Not calculated")</x:f>
        <x:v>69600</x:v>
      </x:c>
      <x:c r="E10" s="109" t="str">
        <x:v>Estimated subscription, support and implementation payments; subject to confirmed quote and contract terms.</x:v>
      </x:c>
    </x:row>
    <x:row r="11" ht="42" customHeight="1">
      <x:c r="A11" s="100" t="str">
        <x:v>Other cash costs</x:v>
      </x:c>
      <x:c r="B11" s="212" t="n">
        <x:f>IF(COUNT('Cashflow'!I6:I17)=12,SUM('Cashflow'!I6:I17),"Not calculated")</x:f>
        <x:v>0</x:v>
      </x:c>
      <x:c r="C11" s="212" t="n">
        <x:f>IF(COUNT('Cashflow'!I18:I29)=12,SUM('Cashflow'!I18:I29),"Not calculated")</x:f>
        <x:v>0</x:v>
      </x:c>
      <x:c r="D11" s="212" t="n">
        <x:f>IF(COUNT('Cashflow'!I30:I41)=12,SUM('Cashflow'!I30:I41),"Not calculated")</x:f>
        <x:v>0</x:v>
      </x:c>
      <x:c r="E11" s="110" t="str">
        <x:v>Incremental paid costs, including evidenced nonrecoverable tax if applicable.</x:v>
      </x:c>
    </x:row>
    <x:row r="12" ht="42" customHeight="1">
      <x:c r="A12" s="111" t="str">
        <x:v>Total cash outflow</x:v>
      </x:c>
      <x:c r="B12" s="214" t="n">
        <x:f>IF(COUNT('Cashflow'!J6:J17)=12,SUM('Cashflow'!J6:J17),"Not calculated")</x:f>
        <x:v>79200</x:v>
      </x:c>
      <x:c r="C12" s="214" t="n">
        <x:f>IF(COUNT('Cashflow'!J18:J29)=12,SUM('Cashflow'!J18:J29),"Not calculated")</x:f>
        <x:v>69600</x:v>
      </x:c>
      <x:c r="D12" s="214" t="n">
        <x:f>IF(COUNT('Cashflow'!J30:J41)=12,SUM('Cashflow'!J30:J41),"Not calculated")</x:f>
        <x:v>69600</x:v>
      </x:c>
      <x:c r="E12" s="109" t="str">
        <x:v>Vendor plus other cash costs; internal time allocations are excluded.</x:v>
      </x:c>
    </x:row>
    <x:row r="13" ht="42" customHeight="1">
      <x:c r="A13" s="100" t="str">
        <x:v>Internal capacity cost</x:v>
      </x:c>
      <x:c r="B13" s="212" t="n">
        <x:f>IF(COUNT('Cashflow'!K6:K17)=12,SUM('Cashflow'!K6:K17),"Not calculated")</x:f>
        <x:v>31620</x:v>
      </x:c>
      <x:c r="C13" s="212" t="n">
        <x:f>IF(COUNT('Cashflow'!K18:K29)=12,SUM('Cashflow'!K18:K29),"Not calculated")</x:f>
        <x:v>8160</x:v>
      </x:c>
      <x:c r="D13" s="212" t="n">
        <x:f>IF(COUNT('Cashflow'!K30:K41)=12,SUM('Cashflow'!K30:K41),"Not calculated")</x:f>
        <x:v>8160</x:v>
      </x:c>
      <x:c r="E13" s="110" t="str">
        <x:v>Setup, training and administration hours valued at the loaded rate.</x:v>
      </x:c>
    </x:row>
    <x:row r="14" ht="36" customHeight="1">
      <x:c r="A14" s="111" t="str">
        <x:v>Total economic cost</x:v>
      </x:c>
      <x:c r="B14" s="214" t="n">
        <x:f>IF(COUNT('Cashflow'!L6:L17)=12,SUM('Cashflow'!L6:L17),"Not calculated")</x:f>
        <x:v>110820</x:v>
      </x:c>
      <x:c r="C14" s="214" t="n">
        <x:f>IF(COUNT('Cashflow'!L18:L29)=12,SUM('Cashflow'!L18:L29),"Not calculated")</x:f>
        <x:v>77760</x:v>
      </x:c>
      <x:c r="D14" s="214" t="n">
        <x:f>IF(COUNT('Cashflow'!L30:L41)=12,SUM('Cashflow'!L30:L41),"Not calculated")</x:f>
        <x:v>77760</x:v>
      </x:c>
      <x:c r="E14" s="109" t="str">
        <x:v>Cash outflow plus allocated internal time.</x:v>
      </x:c>
    </x:row>
    <x:row r="15" ht="36" customHeight="1">
      <x:c r="A15" s="111" t="str">
        <x:v>Net economic benefit</x:v>
      </x:c>
      <x:c r="B15" s="214" t="n">
        <x:f>IF(COUNT('Cashflow'!O6:O17)=12,SUM('Cashflow'!O6:O17),"Not calculated")</x:f>
        <x:v>33622.2</x:v>
      </x:c>
      <x:c r="C15" s="214" t="n">
        <x:f>IF(COUNT('Cashflow'!O18:O29)=12,SUM('Cashflow'!O18:O29),"Not calculated")</x:f>
        <x:v>126158.39999999998</x:v>
      </x:c>
      <x:c r="D15" s="214" t="n">
        <x:f>IF(COUNT('Cashflow'!O30:O41)=12,SUM('Cashflow'!O30:O41),"Not calculated")</x:f>
        <x:v>126158.39999999998</x:v>
      </x:c>
      <x:c r="E15" s="110" t="str">
        <x:v>Economic benefit less economic cost.</x:v>
      </x:c>
    </x:row>
    <x:row r="16" ht="36" customHeight="1">
      <x:c r="A16" s="111" t="str">
        <x:v>Economic ROI</x:v>
      </x:c>
      <x:c r="B16" s="216" t="n">
        <x:f>IF(COUNT(B14:B15)=2,IF(B14=0,"n.a.",B15/B14),"Not calculated")</x:f>
        <x:v>0.30339469409853814</x:v>
      </x:c>
      <x:c r="C16" s="216" t="n">
        <x:f>IF(COUNT(C14:C15)=2,IF(C14=0,"n.a.",C15/C14),"Not calculated")</x:f>
        <x:v>1.622407407407407</x:v>
      </x:c>
      <x:c r="D16" s="216" t="n">
        <x:f>IF(COUNT(D14:D15)=2,IF(D14=0,"n.a.",D15/D14),"Not calculated")</x:f>
        <x:v>1.622407407407407</x:v>
      </x:c>
      <x:c r="E16" s="109" t="str">
        <x:v>Net economic benefit divided by economic cost.</x:v>
      </x:c>
    </x:row>
    <x:row r="17" ht="36" customHeight="1">
      <x:c r="A17" s="111" t="str">
        <x:v>Net cash impact</x:v>
      </x:c>
      <x:c r="B17" s="214" t="n">
        <x:f>IF(COUNT('Cashflow'!M6:M17)=12,SUM('Cashflow'!M6:M17),"Not calculated")</x:f>
        <x:v>-79200</x:v>
      </x:c>
      <x:c r="C17" s="214" t="n">
        <x:f>IF(COUNT('Cashflow'!M18:M29)=12,SUM('Cashflow'!M18:M29),"Not calculated")</x:f>
        <x:v>-69600</x:v>
      </x:c>
      <x:c r="D17" s="214" t="n">
        <x:f>IF(COUNT('Cashflow'!M30:M41)=12,SUM('Cashflow'!M30:M41),"Not calculated")</x:f>
        <x:v>-69600</x:v>
      </x:c>
      <x:c r="E17" s="110" t="str">
        <x:v>Realized cash savings less cash outflow.</x:v>
      </x:c>
    </x:row>
    <x:row r="18" ht="42" customHeight="1">
      <x:c r="A18" s="111" t="str">
        <x:v>Closing cumulative cash</x:v>
      </x:c>
      <x:c r="B18" s="214" t="n">
        <x:f>'Cashflow'!N17</x:f>
        <x:v>-79200</x:v>
      </x:c>
      <x:c r="C18" s="214" t="n">
        <x:f>'Cashflow'!N29</x:f>
        <x:v>-148800</x:v>
      </x:c>
      <x:c r="D18" s="214" t="n">
        <x:f>'Cashflow'!N41</x:f>
        <x:v>-218400</x:v>
      </x:c>
      <x:c r="E18" s="109" t="str">
        <x:v>Cumulative modeled cash savings less estimated cash costs to period end.</x:v>
      </x:c>
    </x:row>
    <x:row r="19" ht="42" customHeight="1">
      <x:c r="A19" s="111" t="str">
        <x:v>Closing cumulative economic value</x:v>
      </x:c>
      <x:c r="B19" s="214" t="n">
        <x:f>'Cashflow'!P17</x:f>
        <x:v>33622.2</x:v>
      </x:c>
      <x:c r="C19" s="214" t="n">
        <x:f>'Cashflow'!P29</x:f>
        <x:v>159780.6</x:v>
      </x:c>
      <x:c r="D19" s="214" t="n">
        <x:f>'Cashflow'!P41</x:f>
        <x:v>285939.0000000001</x:v>
      </x:c>
      <x:c r="E19" s="110" t="str">
        <x:v>Cumulative value including noncash capacity benefits and costs.</x:v>
      </x:c>
    </x:row>
    <x:row r="20" ht="42" customHeight="1">
      <x:c r="A20" s="64" t="str">
        <x:v>Discounted economic value</x:v>
      </x:c>
      <x:c r="B20" s="213" t="n">
        <x:f>IF(COUNT('Cashflow'!Q6:Q17)=12,SUM('Cashflow'!Q6:Q17),"Not calculated")</x:f>
        <x:v>25945.57010510083</x:v>
      </x:c>
      <x:c r="C20" s="213" t="n">
        <x:f>IF(COUNT('Cashflow'!Q18:Q29)=12,SUM('Cashflow'!Q18:Q29),"Not calculated")</x:f>
        <x:v>106299.13417593348</x:v>
      </x:c>
      <x:c r="D20" s="213" t="n">
        <x:f>IF(COUNT('Cashflow'!Q30:Q41)=12,SUM('Cashflow'!Q30:Q41),"Not calculated")</x:f>
        <x:v>96635.57652357589</x:v>
      </x:c>
      <x:c r="E20" s="109" t="str">
        <x:v>Monthly net economic values discounted at the annual effective rate.</x:v>
      </x:c>
    </x:row>
    <x:row r="21" ht="42" customHeight="1">
      <x:c r="A21" s="100" t="str">
        <x:v>Economic overlap deduction</x:v>
      </x:c>
      <x:c r="B21" s="212" t="n">
        <x:f>IF(COUNT('Cashflow'!T6:T17)=12,SUM('Cashflow'!T6:T17),"Not calculated")</x:f>
        <x:v>0</x:v>
      </x:c>
      <x:c r="C21" s="212" t="n">
        <x:f>IF(COUNT('Cashflow'!T18:T29)=12,SUM('Cashflow'!T18:T29),"Not calculated")</x:f>
        <x:v>0</x:v>
      </x:c>
      <x:c r="D21" s="212" t="n">
        <x:f>IF(COUNT('Cashflow'!T30:T41)=12,SUM('Cashflow'!T30:T41),"Not calculated")</x:f>
        <x:v>0</x:v>
      </x:c>
      <x:c r="E21" s="110" t="str">
        <x:v>Deduct this duplicated benefit from economic value only. Actual cash savings and cash payback remain unchanged.</x:v>
      </x:c>
    </x:row>
    <x:row r="22" ht="30" customHeight="1">
      <x:c r="A22" s="87" t="str">
        <x:v>36-MONTH DECISION SUMMARY</x:v>
      </x:c>
      <x:c r="B22" s="102"/>
      <x:c r="C22" s="102"/>
      <x:c r="D22" s="102"/>
      <x:c r="E22" s="89"/>
    </x:row>
    <x:row r="23" ht="56" customHeight="1">
      <x:c r="A23" s="100" t="str">
        <x:v>Three-year economic NPV</x:v>
      </x:c>
      <x:c r="B23" s="215" t="n">
        <x:f>IF(COUNT(B20:D20)=3,SUM(B20:D20),"Not calculated")</x:f>
        <x:v>228880.28080461017</x:v>
      </x:c>
      <x:c r="C23" s="119"/>
      <x:c r="D23" s="119"/>
      <x:c r="E23" s="110" t="str">
        <x:v>Monthly discounted economic value; includes capacity valuation, not cash-only NPV.</x:v>
      </x:c>
    </x:row>
    <x:row r="24" ht="56" customHeight="1">
      <x:c r="A24" s="64" t="str">
        <x:v>Three-year economic ROI</x:v>
      </x:c>
      <x:c r="B24" s="217" t="n">
        <x:f>IF(AND(COUNT(B15:D15)=3,COUNT(B14:D14)=3),IF(SUM(B14:D14)=0,"n.a.",SUM(B15:D15)/SUM(B14:D14)),"Not calculated")</x:f>
        <x:v>1.0735863933318313</x:v>
      </x:c>
      <x:c r="C24" s="121"/>
      <x:c r="D24" s="121"/>
      <x:c r="E24" s="109" t="str">
        <x:v>Total net economic benefit / total economic cost for the same 36 months.</x:v>
      </x:c>
    </x:row>
    <x:row r="25" ht="56" customHeight="1">
      <x:c r="A25" s="100" t="str">
        <x:v>Cash payback month</x:v>
      </x:c>
      <x:c r="B25" s="124" t="str">
        <x:f>IF(AND(COUNT('Cashflow'!M6:M41)=36,SUM('Cashflow'!J6:J41)&gt;0,SUM('Cashflow'!F6:F41)&gt;0),IF(COUNTIFS('Cashflow'!R6:R41,1)&gt;0,MATCH(1,'Cashflow'!R6:R41,0),"n.a."),"n.a.")</x:f>
        <x:v>n.a.</x:v>
      </x:c>
      <x:c r="C25" s="119"/>
      <x:c r="D25" s="119"/>
      <x:c r="E25" s="110" t="str">
        <x:v>Model month; cumulative cash must remain nonnegative through month 36. n.a. means not calculated, no cost, no cash savings or no recovery; see conclusion below.</x:v>
      </x:c>
    </x:row>
    <x:row r="26" ht="56" customHeight="1">
      <x:c r="A26" s="64" t="str">
        <x:v>Cash payback conclusion</x:v>
      </x:c>
      <x:c r="B26" s="121" t="str">
        <x:f>IF(COUNT('Cashflow'!M6:M41)&lt;36,"Not calculated",IF(SUM('Cashflow'!J6:J41)=0,"No cash investment",IF(SUM('Cashflow'!F6:F41)=0,"No cash savings",IF(ISNUMBER(B25),"Recovered in horizon","Not recovered in 36 months"))))</x:f>
        <x:v>No cash savings</x:v>
      </x:c>
      <x:c r="C26" s="121"/>
      <x:c r="D26" s="121"/>
      <x:c r="E26" s="109" t="str">
        <x:v>Uses cash flows only. No claim beyond the modeled 36 months.</x:v>
      </x:c>
    </x:row>
    <x:row r="27" ht="56" customHeight="1">
      <x:c r="A27" s="100" t="str">
        <x:v>Economic recovery month</x:v>
      </x:c>
      <x:c r="B27" s="124" t="n">
        <x:f>IF(AND(COUNT('Cashflow'!O6:O41)=36,SUM('Cashflow'!L6:L41)&gt;0),IF(COUNTIFS('Cashflow'!S6:S41,1)&gt;0,MATCH(1,'Cashflow'!S6:S41,0),"n.a."),"n.a.")</x:f>
        <x:v>15</x:v>
      </x:c>
      <x:c r="C27" s="119"/>
      <x:c r="D27" s="119"/>
      <x:c r="E27" s="110" t="str">
        <x:v>Separate cumulative economic value recovery; includes capacity estimates and is not financial payback.</x:v>
      </x:c>
    </x:row>
    <x:row r="28" ht="56" customHeight="1">
      <x:c r="A28" s="64" t="str">
        <x:v>Economic recovery conclusion</x:v>
      </x:c>
      <x:c r="B28" s="121" t="str">
        <x:f>IF(COUNT('Cashflow'!O6:O41)&lt;36,"Not calculated",IF(SUM('Cashflow'!L6:L41)=0,"No economic investment",IF(ISNUMBER(B27),"Economic value recovered","Not recovered in 36 months")))</x:f>
        <x:v>Economic value recovered</x:v>
      </x:c>
      <x:c r="C28" s="121"/>
      <x:c r="D28" s="121"/>
      <x:c r="E28" s="109" t="str">
        <x:v>Requires the balance to remain nonnegative through month 36.</x:v>
      </x:c>
    </x:row>
    <x:row r="29" ht="56" customHeight="1">
      <x:c r="A29" s="100" t="str">
        <x:v>Selected case</x:v>
      </x:c>
      <x:c r="B29" s="119" t="str">
        <x:f>IF('Inputs'!B24=1,"Planning",IF('Inputs'!B24=2,"Conservative","Select case"))</x:f>
        <x:v>Planning</x:v>
      </x:c>
      <x:c r="C29" s="119"/>
      <x:c r="D29" s="119"/>
      <x:c r="E29" s="110" t="str">
        <x:v>Sensitivity uses one model: change Inputs!B24 between 1 and 2, then compare refreshed outputs.</x:v>
      </x:c>
    </x:row>
    <x:row r="30" ht="96" customHeight="1">
      <x:c r="A30" s="64" t="str">
        <x:v>Review and conditions</x:v>
      </x:c>
      <x:c r="B30" s="121" t="str">
        <x:f>IF('Inputs'!B25="","Review required",'Inputs'!B25)</x:f>
        <x:v>Planning estimate: validate task quality, adoption and productive use in the 12-user pilot; refresh the economic case before rollout.</x:v>
      </x:c>
      <x:c r="C30" s="121"/>
      <x:c r="D30" s="121"/>
      <x:c r="E30" s="109" t="str">
        <x:v>Planning estimate and proposed rollout conditions; source date and pricing status recorded in Inputs.</x:v>
      </x:c>
    </x:row>
    <x:row r="31" ht="10" customHeight="1">
      <x:c r="A31" s="100"/>
      <x:c r="B31" s="96"/>
      <x:c r="C31" s="96"/>
      <x:c r="D31" s="96"/>
      <x:c r="E31" s="95"/>
    </x:row>
    <x:row r="32" ht="10" customHeight="1">
      <x:c r="A32" s="64"/>
      <x:c r="B32" s="72"/>
      <x:c r="C32" s="72"/>
      <x:c r="D32" s="72"/>
      <x:c r="E32" s="69"/>
    </x:row>
    <x:row r="33" ht="58" customHeight="1">
      <x:c r="A33" s="126" t="str">
        <x:v>Recommendation: validate the 12-user pilot before committing to 60 users. Refresh the business case with accepted quality, expected adoption and productive use.</x:v>
      </x:c>
      <x:c r="B33" s="127"/>
      <x:c r="C33" s="127"/>
      <x:c r="D33" s="127"/>
      <x:c r="E33" s="128"/>
    </x:row>
    <x:row r="34">
      <x:c r="A34" s="1"/>
      <x:c r="B34" s="1"/>
      <x:c r="C34" s="1"/>
      <x:c r="D34" s="1"/>
      <x:c r="E34" s="1"/>
    </x:row>
    <x:row r="35" ht="32" customHeight="1">
      <x:c r="A35" s="277" t="str">
        <x:v>YEAR 1 INVESTMENT CONDITIONS · ACTIVE CASE</x:v>
      </x:c>
      <x:c r="B35" s="277"/>
      <x:c r="C35" s="277"/>
      <x:c r="D35" s="277"/>
      <x:c r="E35" s="277"/>
    </x:row>
    <x:row r="36" ht="44" customHeight="1">
      <x:c r="A36" s="285" t="str">
        <x:v>Capacity value at 100% productive use</x:v>
      </x:c>
      <x:c r="B36" s="286" t="n">
        <x:f>'Benefits'!F21</x:f>
        <x:v>144442.19999999998</x:v>
      </x:c>
      <x:c r="C36" s="287"/>
      <x:c r="D36" s="287"/>
      <x:c r="E36" s="288" t="str">
        <x:v>Same reduction, adoption and ramp as the active case.</x:v>
      </x:c>
    </x:row>
    <x:row r="37" ht="44" customHeight="1">
      <x:c r="A37" s="308" t="str">
        <x:v>Minimum productive use to break even</x:v>
      </x:c>
      <x:c r="B37" s="311" t="n">
        <x:f>'Benefits'!F24</x:f>
        <x:v>0.7672273061473726</x:v>
      </x:c>
      <x:c r="C37" s="312"/>
      <x:c r="D37" s="312"/>
      <x:c r="E37" s="299" t="str">
        <x:v>Economic boundary, not an agreed pilot pass mark.</x:v>
      </x:c>
    </x:row>
    <x:row r="38" ht="44" customHeight="1">
      <x:c r="A38" s="285" t="str">
        <x:v>Productive-use test</x:v>
      </x:c>
      <x:c r="B38" s="303" t="n">
        <x:f>'Inputs'!B26</x:f>
        <x:v>0.75</x:v>
      </x:c>
      <x:c r="C38" s="287"/>
      <x:c r="D38" s="287"/>
      <x:c r="E38" s="288" t="str">
        <x:v>One-factor test; other assumptions and cost scope held fixed.</x:v>
      </x:c>
    </x:row>
    <x:row r="39" ht="44" customHeight="1">
      <x:c r="A39" s="313" t="str">
        <x:v>Net economic benefit at test</x:v>
      </x:c>
      <x:c r="B39" s="316" t="n">
        <x:f>'Benefits'!F23</x:f>
        <x:v>-2488.350000000006</x:v>
      </x:c>
      <x:c r="C39" s="317"/>
      <x:c r="D39" s="317"/>
      <x:c r="E39" s="299" t="str">
        <x:f>IF(ISNUMBER(B39),IF(B39&lt;0,"Negative Year 1 economic value at the selected productive-use test.","Nonnegative Year 1 economic value at the selected productive-use test."),"Review required inputs.")</x:f>
        <x:v>Negative Year 1 economic value at the selected productive-use test.</x:v>
      </x:c>
    </x:row>
    <x:row r="40" ht="44" customHeight="1">
      <x:c r="A40" s="285" t="str">
        <x:v>Economic ROI at test</x:v>
      </x:c>
      <x:c r="B40" s="303" t="n">
        <x:f>IF(COUNT(B14,B39)=2,IF(B14=0,"n.a.",B39/B14),"Not calculated")</x:f>
        <x:v>-0.022453979426096424</x:v>
      </x:c>
      <x:c r="C40" s="287"/>
      <x:c r="D40" s="287"/>
      <x:c r="E40" s="288" t="str">
        <x:v>Test net economic benefit / total economic cost.</x:v>
      </x:c>
    </x:row>
    <x:row r="41" ht="44" customHeight="1">
      <x:c r="A41" s="296" t="str">
        <x:v>Year 1 evaluation ceiling</x:v>
      </x:c>
      <x:c r="B41" s="307" t="n">
        <x:f>'Inputs'!B27</x:f>
        <x:v>125000</x:v>
      </x:c>
      <x:c r="C41" s="298"/>
      <x:c r="D41" s="298"/>
      <x:c r="E41" s="299" t="str">
        <x:v>Before tax; an evaluation ceiling, not an authorization to spend.</x:v>
      </x:c>
    </x:row>
    <x:row r="42" ht="44" customHeight="1">
      <x:c r="A42" s="285" t="str">
        <x:v>Remaining evaluation headroom</x:v>
      </x:c>
      <x:c r="B42" s="286" t="n">
        <x:f>IF(COUNT(B41,B14)=2,B41-B14,"Not calculated")</x:f>
        <x:v>14180</x:v>
      </x:c>
      <x:c r="C42" s="287"/>
      <x:c r="D42" s="287"/>
      <x:c r="E42" s="288" t="str">
        <x:v>Taxes and additional paid usage, integration or migration may reduce headroom.</x:v>
      </x:c>
    </x:row>
    <x:row r="43" ht="58" customHeight="1">
      <x:c r="A43" s="296" t="str">
        <x:v>Value condition</x:v>
      </x:c>
      <x:c r="B43" s="307" t="str">
        <x:f>IF(ISNUMBER(B37),IF(B37&gt;1,"Above 100%: revise scope or drivers",IF(B15&gt;0,"Positive estimate: validate in pilot","Negative estimate: revise or extend validation")),"Economic threshold unavailable")</x:f>
        <x:v>Positive estimate: validate in pilot</x:v>
      </x:c>
      <x:c r="C43" s="298"/>
      <x:c r="D43" s="298"/>
      <x:c r="E43" s="299" t="str">
        <x:v>The active case and inputs determine this estimate; no approval is implied.</x:v>
      </x:c>
    </x:row>
    <x:row r="44">
      <x:c r="A44" s="1"/>
      <x:c r="B44" s="1"/>
      <x:c r="C44" s="1"/>
      <x:c r="D44" s="1"/>
      <x:c r="E44" s="1"/>
    </x:row>
    <x:row r="45" ht="88" customHeight="1">
      <x:c r="A45" s="270" t="str">
        <x:v>Pilot decision: Jonah and Rachel validate ten packages, including failed tasks and review effort, with accuracy, traceability and editable outputs. Elena and Victor assess adoption and productive use, then refresh the case. Expand only after quality acceptance, positive refreshed value and recorded security, contract and budget approvals; otherwise revise scope or extend validation.</x:v>
      </x:c>
      <x:c r="B45" s="270"/>
      <x:c r="C45" s="270"/>
      <x:c r="D45" s="270"/>
      <x:c r="E45" s="270"/>
    </x:row>
    <x:row r="46">
      <x:c r="A46" s="1"/>
      <x:c r="B46" s="1"/>
      <x:c r="C46" s="1"/>
      <x:c r="D46" s="1"/>
      <x:c r="E46" s="1"/>
    </x:row>
    <x:row r="47">
      <x:c r="A47" s="1"/>
      <x:c r="B47" s="1"/>
      <x:c r="C47" s="1"/>
      <x:c r="D47" s="1"/>
      <x:c r="E47" s="1"/>
    </x:row>
    <x:row r="48">
      <x:c r="A48" s="1"/>
      <x:c r="B48" s="1"/>
      <x:c r="C48" s="1"/>
      <x:c r="D48" s="1"/>
      <x:c r="E48" s="1"/>
    </x:row>
    <x:row r="49">
      <x:c r="A49" s="1"/>
      <x:c r="B49" s="1"/>
      <x:c r="C49" s="1"/>
      <x:c r="D49" s="1"/>
      <x:c r="E49" s="1"/>
    </x:row>
    <x:row r="50">
      <x:c r="A50" s="1"/>
      <x:c r="B50" s="1"/>
      <x:c r="C50" s="1"/>
      <x:c r="D50" s="1"/>
      <x:c r="E50" s="1"/>
    </x:row>
    <x:row r="51">
      <x:c r="A51" s="1"/>
      <x:c r="B51" s="1"/>
      <x:c r="C51" s="1"/>
      <x:c r="D51" s="1"/>
      <x:c r="E51" s="1"/>
    </x:row>
    <x:row r="52">
      <x:c r="A52" s="1"/>
      <x:c r="B52" s="1"/>
      <x:c r="C52" s="1"/>
      <x:c r="D52" s="1"/>
      <x:c r="E52" s="1"/>
    </x:row>
    <x:row r="53">
      <x:c r="A53" s="1"/>
      <x:c r="B53" s="1"/>
      <x:c r="C53" s="1"/>
      <x:c r="D53" s="1"/>
      <x:c r="E53" s="1"/>
    </x:row>
    <x:row r="54">
      <x:c r="A54" s="1"/>
      <x:c r="B54" s="1"/>
      <x:c r="C54" s="1"/>
      <x:c r="D54" s="1"/>
      <x:c r="E54" s="1"/>
    </x:row>
    <x:row r="55">
      <x:c r="A55" s="1"/>
      <x:c r="B55" s="1"/>
      <x:c r="C55" s="1"/>
      <x:c r="D55" s="1"/>
      <x:c r="E55" s="1"/>
    </x:row>
    <x:row r="56">
      <x:c r="A56" s="1"/>
      <x:c r="B56" s="1"/>
      <x:c r="C56" s="1"/>
      <x:c r="D56" s="1"/>
      <x:c r="E56" s="1"/>
    </x:row>
    <x:row r="57">
      <x:c r="A57" s="1"/>
      <x:c r="B57" s="1"/>
      <x:c r="C57" s="1"/>
      <x:c r="D57" s="1"/>
      <x:c r="E57" s="1"/>
    </x:row>
    <x:row r="58">
      <x:c r="A58" s="1"/>
      <x:c r="B58" s="1"/>
      <x:c r="C58" s="1"/>
      <x:c r="D58" s="1"/>
      <x:c r="E58" s="1"/>
    </x:row>
    <x:row r="59">
      <x:c r="A59" s="1"/>
      <x:c r="B59" s="1"/>
      <x:c r="C59" s="1"/>
      <x:c r="D59" s="1"/>
      <x:c r="E59" s="1"/>
    </x:row>
    <x:row r="60">
      <x:c r="A60" s="1"/>
      <x:c r="B60" s="1"/>
      <x:c r="C60" s="1"/>
      <x:c r="D60" s="1"/>
      <x:c r="E60" s="1"/>
    </x:row>
    <x:row r="61">
      <x:c r="A61" s="1"/>
      <x:c r="B61" s="1"/>
      <x:c r="C61" s="1"/>
      <x:c r="D61" s="1"/>
      <x:c r="E61" s="1"/>
    </x:row>
    <x:row r="62">
      <x:c r="A62" s="1"/>
      <x:c r="B62" s="1"/>
      <x:c r="C62" s="1"/>
      <x:c r="D62" s="1"/>
      <x:c r="E62" s="1"/>
    </x:row>
    <x:row r="63">
      <x:c r="A63" s="1"/>
      <x:c r="B63" s="1"/>
      <x:c r="C63" s="1"/>
      <x:c r="D63" s="1"/>
      <x:c r="E63" s="1"/>
    </x:row>
    <x:row r="64">
      <x:c r="A64" s="1"/>
      <x:c r="B64" s="1"/>
      <x:c r="C64" s="1"/>
      <x:c r="D64" s="1"/>
      <x:c r="E64" s="1"/>
    </x:row>
    <x:row r="65">
      <x:c r="A65" s="1"/>
      <x:c r="B65" s="1"/>
      <x:c r="C65" s="1"/>
      <x:c r="D65" s="1"/>
      <x:c r="E65" s="1"/>
    </x:row>
    <x:row r="66">
      <x:c r="A66" s="1"/>
      <x:c r="B66" s="1"/>
      <x:c r="C66" s="1"/>
      <x:c r="D66" s="1"/>
      <x:c r="E66" s="1"/>
    </x:row>
    <x:row r="67">
      <x:c r="A67" s="1"/>
      <x:c r="B67" s="1"/>
      <x:c r="C67" s="1"/>
      <x:c r="D67" s="1"/>
      <x:c r="E67" s="1"/>
    </x:row>
    <x:row r="68">
      <x:c r="A68" s="1"/>
      <x:c r="B68" s="1"/>
      <x:c r="C68" s="1"/>
      <x:c r="D68" s="1"/>
      <x:c r="E68" s="1"/>
    </x:row>
    <x:row r="69">
      <x:c r="A69" s="1"/>
      <x:c r="B69" s="1"/>
      <x:c r="C69" s="1"/>
      <x:c r="D69" s="1"/>
      <x:c r="E69" s="1"/>
    </x:row>
    <x:row r="70">
      <x:c r="A70" s="1"/>
      <x:c r="B70" s="1"/>
      <x:c r="C70" s="1"/>
      <x:c r="D70" s="1"/>
      <x:c r="E70" s="1"/>
    </x:row>
    <x:row r="71">
      <x:c r="A71" s="1"/>
      <x:c r="B71" s="1"/>
      <x:c r="C71" s="1"/>
      <x:c r="D71" s="1"/>
      <x:c r="E71" s="1"/>
    </x:row>
    <x:row r="72">
      <x:c r="A72" s="1"/>
      <x:c r="B72" s="1"/>
      <x:c r="C72" s="1"/>
      <x:c r="D72" s="1"/>
      <x:c r="E72" s="1"/>
    </x:row>
    <x:row r="73">
      <x:c r="A73" s="1"/>
      <x:c r="B73" s="1"/>
      <x:c r="C73" s="1"/>
      <x:c r="D73" s="1"/>
      <x:c r="E73" s="1"/>
    </x:row>
    <x:row r="74">
      <x:c r="A74" s="1"/>
      <x:c r="B74" s="1"/>
      <x:c r="C74" s="1"/>
      <x:c r="D74" s="1"/>
      <x:c r="E74" s="1"/>
    </x:row>
    <x:row r="75">
      <x:c r="A75" s="1"/>
      <x:c r="B75" s="1"/>
      <x:c r="C75" s="1"/>
      <x:c r="D75" s="1"/>
      <x:c r="E75" s="1"/>
    </x:row>
    <x:row r="76">
      <x:c r="A76" s="1"/>
      <x:c r="B76" s="1"/>
      <x:c r="C76" s="1"/>
      <x:c r="D76" s="1"/>
      <x:c r="E76" s="1"/>
    </x:row>
    <x:row r="77">
      <x:c r="A77" s="1"/>
      <x:c r="B77" s="1"/>
      <x:c r="C77" s="1"/>
      <x:c r="D77" s="1"/>
      <x:c r="E77" s="1"/>
    </x:row>
    <x:row r="78">
      <x:c r="A78" s="1"/>
      <x:c r="B78" s="1"/>
      <x:c r="C78" s="1"/>
      <x:c r="D78" s="1"/>
      <x:c r="E78" s="1"/>
    </x:row>
    <x:row r="79">
      <x:c r="A79" s="1"/>
      <x:c r="B79" s="1"/>
      <x:c r="C79" s="1"/>
      <x:c r="D79" s="1"/>
      <x:c r="E79" s="1"/>
    </x:row>
    <x:row r="80">
      <x:c r="A80" s="1"/>
      <x:c r="B80" s="1"/>
      <x:c r="C80" s="1"/>
      <x:c r="D80" s="1"/>
      <x:c r="E80" s="1"/>
    </x:row>
    <x:row r="81">
      <x:c r="A81" s="1"/>
      <x:c r="B81" s="1"/>
      <x:c r="C81" s="1"/>
      <x:c r="D81" s="1"/>
      <x:c r="E81" s="1"/>
    </x:row>
    <x:row r="82">
      <x:c r="A82" s="1"/>
      <x:c r="B82" s="1"/>
      <x:c r="C82" s="1"/>
      <x:c r="D82" s="1"/>
      <x:c r="E82" s="1"/>
    </x:row>
    <x:row r="83">
      <x:c r="A83" s="1"/>
      <x:c r="B83" s="1"/>
      <x:c r="C83" s="1"/>
      <x:c r="D83" s="1"/>
      <x:c r="E83" s="1"/>
    </x:row>
    <x:row r="84">
      <x:c r="A84" s="1"/>
      <x:c r="B84" s="1"/>
      <x:c r="C84" s="1"/>
      <x:c r="D84" s="1"/>
      <x:c r="E84" s="1"/>
    </x:row>
    <x:row r="85">
      <x:c r="A85" s="1"/>
      <x:c r="B85" s="1"/>
      <x:c r="C85" s="1"/>
      <x:c r="D85" s="1"/>
      <x:c r="E85" s="1"/>
    </x:row>
    <x:row r="86">
      <x:c r="A86" s="1"/>
      <x:c r="B86" s="1"/>
      <x:c r="C86" s="1"/>
      <x:c r="D86" s="1"/>
      <x:c r="E86" s="1"/>
    </x:row>
    <x:row r="87">
      <x:c r="A87" s="1"/>
      <x:c r="B87" s="1"/>
      <x:c r="C87" s="1"/>
      <x:c r="D87" s="1"/>
      <x:c r="E87" s="1"/>
    </x:row>
    <x:row r="88">
      <x:c r="A88" s="1"/>
      <x:c r="B88" s="1"/>
      <x:c r="C88" s="1"/>
      <x:c r="D88" s="1"/>
      <x:c r="E88" s="1"/>
    </x:row>
    <x:row r="89">
      <x:c r="A89" s="1"/>
      <x:c r="B89" s="1"/>
      <x:c r="C89" s="1"/>
      <x:c r="D89" s="1"/>
      <x:c r="E89" s="1"/>
    </x:row>
    <x:row r="90">
      <x:c r="A90" s="1"/>
      <x:c r="B90" s="1"/>
      <x:c r="C90" s="1"/>
      <x:c r="D90" s="1"/>
      <x:c r="E90" s="1"/>
    </x:row>
  </x:sheetData>
  <x:mergeCells>
    <x:mergeCell ref="A2:E2"/>
    <x:mergeCell ref="A3:E3"/>
    <x:mergeCell ref="A22:E22"/>
    <x:mergeCell ref="B23:D23"/>
    <x:mergeCell ref="B24:D24"/>
    <x:mergeCell ref="B25:D25"/>
    <x:mergeCell ref="B26:D26"/>
    <x:mergeCell ref="B27:D27"/>
    <x:mergeCell ref="B28:D28"/>
    <x:mergeCell ref="B29:D29"/>
    <x:mergeCell ref="B30:D30"/>
    <x:mergeCell ref="A33:E33"/>
    <x:mergeCell ref="A35:E35"/>
    <x:mergeCell ref="B36:D36"/>
    <x:mergeCell ref="B37:D37"/>
    <x:mergeCell ref="B38:D38"/>
    <x:mergeCell ref="B39:D39"/>
    <x:mergeCell ref="B40:D40"/>
    <x:mergeCell ref="B41:D41"/>
    <x:mergeCell ref="B42:D42"/>
    <x:mergeCell ref="B43:D43"/>
    <x:mergeCell ref="A45:E45"/>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4" hidden="0" customWidth="1"/>
    <x:col min="3" max="3" width="14" hidden="0" customWidth="1"/>
    <x:col min="4" max="4" width="15" hidden="0" customWidth="1"/>
    <x:col min="5" max="5" width="18" hidden="0" customWidth="1"/>
    <x:col min="6" max="6" width="18" hidden="0" customWidth="1"/>
    <x:col min="7" max="7" width="19" hidden="0" customWidth="1"/>
    <x:col min="8" max="8" width="26"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9" hidden="0" customWidth="1"/>
    <x:col min="17" max="17" width="19" hidden="0" customWidth="1"/>
    <x:col min="18" max="18" width="15" hidden="0" customWidth="1"/>
    <x:col min="19" max="19" width="17" hidden="0" customWidth="1"/>
    <x:col min="20" max="20" width="19" hidden="0" customWidth="1"/>
  </x:cols>
  <x:sheetData>
    <x:row r="1" ht="10" customHeight="1">
      <x:c r="A1" s="76"/>
      <x:c r="B1" s="77"/>
      <x:c r="C1" s="77"/>
      <x:c r="D1" s="77"/>
      <x:c r="E1" s="77"/>
      <x:c r="F1" s="77"/>
      <x:c r="G1" s="77"/>
      <x:c r="H1" s="77"/>
      <x:c r="I1" s="77"/>
      <x:c r="J1" s="77"/>
      <x:c r="K1" s="77"/>
      <x:c r="L1" s="77"/>
      <x:c r="M1" s="77"/>
      <x:c r="N1" s="77"/>
      <x:c r="O1" s="77"/>
      <x:c r="P1" s="77"/>
      <x:c r="Q1" s="77"/>
      <x:c r="R1" s="77"/>
      <x:c r="S1" s="77"/>
      <x:c r="T1" s="78"/>
    </x:row>
    <x:row r="2" ht="34" customHeight="1">
      <x:c r="A2" s="82" t="str">
        <x:v>Monthly cash and economic value</x:v>
      </x:c>
      <x:c r="B2" s="72"/>
      <x:c r="C2" s="72"/>
      <x:c r="D2" s="72"/>
      <x:c r="E2" s="72"/>
      <x:c r="F2" s="72"/>
      <x:c r="G2" s="72"/>
      <x:c r="H2" s="72"/>
      <x:c r="I2" s="72"/>
      <x:c r="J2" s="72"/>
      <x:c r="K2" s="72"/>
      <x:c r="L2" s="72"/>
      <x:c r="M2" s="72"/>
      <x:c r="N2" s="72"/>
      <x:c r="O2" s="72"/>
      <x:c r="P2" s="72"/>
      <x:c r="Q2" s="72"/>
      <x:c r="R2" s="72"/>
      <x:c r="S2" s="72"/>
      <x:c r="T2" s="69"/>
    </x:row>
    <x:row r="3" ht="25" customHeight="1">
      <x:c r="A3" s="83" t="str">
        <x:v>USD except hours, percentages and model month; includes separate cash and economic ledgers.</x:v>
      </x:c>
      <x:c r="B3" s="72"/>
      <x:c r="C3" s="72"/>
      <x:c r="D3" s="72"/>
      <x:c r="E3" s="72"/>
      <x:c r="F3" s="72"/>
      <x:c r="G3" s="72"/>
      <x:c r="H3" s="72"/>
      <x:c r="I3" s="72"/>
      <x:c r="J3" s="72"/>
      <x:c r="K3" s="72"/>
      <x:c r="L3" s="72"/>
      <x:c r="M3" s="72"/>
      <x:c r="N3" s="72"/>
      <x:c r="O3" s="72"/>
      <x:c r="P3" s="72"/>
      <x:c r="Q3" s="72"/>
      <x:c r="R3" s="72"/>
      <x:c r="S3" s="72"/>
      <x:c r="T3" s="69"/>
    </x:row>
    <x:row r="4" ht="10" customHeight="1">
      <x:c r="A4" s="67"/>
      <x:c r="B4" s="72"/>
      <x:c r="C4" s="72"/>
      <x:c r="D4" s="72"/>
      <x:c r="E4" s="72"/>
      <x:c r="F4" s="72"/>
      <x:c r="G4" s="72"/>
      <x:c r="H4" s="72"/>
      <x:c r="I4" s="72"/>
      <x:c r="J4" s="72"/>
      <x:c r="K4" s="72"/>
      <x:c r="L4" s="72"/>
      <x:c r="M4" s="72"/>
      <x:c r="N4" s="72"/>
      <x:c r="O4" s="72"/>
      <x:c r="P4" s="72"/>
      <x:c r="Q4" s="72"/>
      <x:c r="R4" s="72"/>
      <x:c r="S4" s="72"/>
      <x:c r="T4" s="69"/>
    </x:row>
    <x:row r="5" ht="56" customHeight="1">
      <x:c r="A5" s="90" t="str">
        <x:v>Model month</x:v>
      </x:c>
      <x:c r="B5" s="91" t="str">
        <x:v>Period</x:v>
      </x:c>
      <x:c r="C5" s="91" t="str">
        <x:v>Benefit ramp</x:v>
      </x:c>
      <x:c r="D5" s="91" t="str">
        <x:v>Capacity hours</x:v>
      </x:c>
      <x:c r="E5" s="91" t="str">
        <x:v>Capacity value</x:v>
      </x:c>
      <x:c r="F5" s="91" t="str">
        <x:v>Cash savings</x:v>
      </x:c>
      <x:c r="G5" s="91" t="str">
        <x:v>Subscription + support</x:v>
      </x:c>
      <x:c r="H5" s="91" t="str">
        <x:v>Implementation cash</x:v>
      </x:c>
      <x:c r="I5" s="91" t="str">
        <x:v>Other cash costs</x:v>
      </x:c>
      <x:c r="J5" s="91" t="str">
        <x:v>Cash outflow</x:v>
      </x:c>
      <x:c r="K5" s="159" t="str">
        <x:v>Internal time value</x:v>
      </x:c>
      <x:c r="L5" s="159" t="str">
        <x:v>Economic cost</x:v>
      </x:c>
      <x:c r="M5" s="91" t="str">
        <x:v>Net cash</x:v>
      </x:c>
      <x:c r="N5" s="91" t="str">
        <x:v>Cumulative cash</x:v>
      </x:c>
      <x:c r="O5" s="159" t="str">
        <x:v>Net economic value</x:v>
      </x:c>
      <x:c r="P5" s="159" t="str">
        <x:v>Cumulative economic value</x:v>
      </x:c>
      <x:c r="Q5" s="159" t="str">
        <x:v>Discounted economic value</x:v>
      </x:c>
      <x:c r="R5" s="91" t="str">
        <x:v>Cash recovered</x:v>
      </x:c>
      <x:c r="S5" s="159" t="str">
        <x:v>Economic value recovered</x:v>
      </x:c>
      <x:c r="T5" s="160" t="str">
        <x:v>Economic overlap deduction</x:v>
      </x:c>
    </x:row>
    <x:row r="6" ht="32" customHeight="1">
      <x:c r="A6" s="156" t="n">
        <x:v>1</x:v>
      </x:c>
      <x:c r="B6" s="140" t="n">
        <x:f>IF('Inputs'!B7="","Set start date",IF(AND(ISNUMBER('Inputs'!B7),'Inputs'!B7&gt;0),EDATE('Inputs'!B7,A6-1),"Invalid date"))</x:f>
        <x:v>46357</x:v>
      </x:c>
      <x:c r="C6" s="229" t="n">
        <x:f>IF(ISNUMBER('Inputs'!B37),IF(OR('Inputs'!B37&lt;0,'Inputs'!B37&gt;1),"Invalid ramp",'Inputs'!B37),"Missing ramp")</x:f>
        <x:v>0</x:v>
      </x:c>
      <x:c r="D6" s="226" t="n">
        <x:f>IF(AND(ISNUMBER(C6),ISNUMBER('Benefits'!E14)),C6*'Benefits'!E14/12,"Not calculated")</x:f>
        <x:v>0</x:v>
      </x:c>
      <x:c r="E6" s="218" t="n">
        <x:f>IF(AND(ISNUMBER(C6),ISNUMBER('Benefits'!F14)),C6*'Benefits'!F14/12,"Not calculated")</x:f>
        <x:v>0</x:v>
      </x:c>
      <x:c r="F6" s="218" t="n">
        <x:f>IF(AND(ISNUMBER(C6),ISNUMBER('Inputs'!D32)),IF('Inputs'!D32&lt;0,"Invalid savings",'Inputs'!D32*C6/12),"Not calculated")</x:f>
        <x:v>0</x:v>
      </x:c>
      <x:c r="G6" s="218" t="n">
        <x:f>IF(COUNT('Inputs'!B10:B11)=2,IF(MIN('Inputs'!B10:B11)&lt;0,"Invalid fee",IF(MOD(A6-1,12)=0,SUM('Inputs'!B10:B11),0)),"Missing fee")</x:f>
        <x:v>69600</x:v>
      </x:c>
      <x:c r="H6" s="218" t="n">
        <x:f>IF(AND(COUNT('Inputs'!B13:B16)=4,'Inputs'!B13&gt;=0,'Inputs'!B14&gt;=0,'Inputs'!B14&lt;=1,'Inputs'!B15&gt;=1,'Inputs'!B16&lt;=12,'Inputs'!B15&lt;='Inputs'!B16,MOD('Inputs'!B15,1)=0,MOD('Inputs'!B16,1)=0),IF(A6='Inputs'!B15,'Inputs'!B13*'Inputs'!B14,0)+IF(A6='Inputs'!B16,'Inputs'!B13*(1-'Inputs'!B14),0),"Missing / invalid milestone")</x:f>
        <x:v>4800</x:v>
      </x:c>
      <x:c r="I6" s="218" t="n">
        <x:f>IF(AND(ISNUMBER('Inputs'!B12),ISNUMBER('Inputs'!B17),ISNUMBER(H6)),IF(OR('Inputs'!B12&lt;0,'Inputs'!B17&lt;0),"Invalid cost",'Inputs'!B12/12+IF(A6='Inputs'!B15,'Inputs'!B17,0)),"Missing cost")</x:f>
        <x:v>0</x:v>
      </x:c>
      <x:c r="J6" s="221" t="n">
        <x:f>IF(COUNT(G6:I6)=3,SUM(G6:I6),"Not calculated")</x:f>
        <x:v>74400</x:v>
      </x:c>
      <x:c r="K6" s="218" t="n">
        <x:f>IF(AND(COUNT('Inputs'!B18:B20)=3,ISNUMBER('Inputs'!B21),ISNUMBER(H6)),IF(OR(MIN('Inputs'!B18:B20)&lt;0,'Inputs'!B21&lt;0),"Invalid hours",('Inputs'!B21+IF(A6='Inputs'!B15,'Inputs'!B18,0)+IF(A6='Inputs'!B16,'Inputs'!B19,0))*'Inputs'!B20),"Missing hours")</x:f>
        <x:v>8840</x:v>
      </x:c>
      <x:c r="L6" s="218" t="n">
        <x:f>IF(COUNT(J6:K6)=2,SUM(J6:K6),"Not calculated")</x:f>
        <x:v>83240</x:v>
      </x:c>
      <x:c r="M6" s="218" t="n">
        <x:f>IF(AND(ISNUMBER(F6),ISNUMBER(J6)),F6-J6,"Not calculated")</x:f>
        <x:v>-74400</x:v>
      </x:c>
      <x:c r="N6" s="221" t="n">
        <x:f>IF(COUNT(M$6:M6)=A6,SUM(M$6:M6),"Not calculated")</x:f>
        <x:v>-74400</x:v>
      </x:c>
      <x:c r="O6" s="218" t="n">
        <x:f>IF(AND(COUNT(E6:F6)=2,ISNUMBER(L6),ISNUMBER(T6)),SUM(E6:F6)-T6-L6,"Not calculated")</x:f>
        <x:v>-83240</x:v>
      </x:c>
      <x:c r="P6" s="221" t="n">
        <x:f>IF(COUNT(O$6:O6)=A6,SUM(O$6:O6),"Not calculated")</x:f>
        <x:v>-83240</x:v>
      </x:c>
      <x:c r="Q6" s="221" t="n">
        <x:f>IF(AND(ISNUMBER(O6),ISNUMBER('Inputs'!B22)),IF(OR('Inputs'!B22&lt;0,'Inputs'!B22&gt;1),"Invalid rate",O6/(1+'Inputs'!B22)^(A6/12)),"Not calculated")</x:f>
        <x:v>-82581.48365252753</x:v>
      </x:c>
      <x:c r="R6" s="72" t="n">
        <x:f>IF(COUNT(N6:N$41)=37-A6,IF(MIN(N6:N$41)&gt;=0,1,0),"Not calculated")</x:f>
        <x:v>0</x:v>
      </x:c>
      <x:c r="S6" s="72" t="n">
        <x:f>IF(COUNT(P6:P$41)=37-A6,IF(MIN(P6:P$41)&gt;=0,1,0),"Not calculated")</x:f>
        <x:v>0</x:v>
      </x:c>
      <x:c r="T6" s="223" t="n">
        <x:f>IF(AND(ISNUMBER(C6),COUNT('Inputs'!D32:D33)=2,ISNUMBER('Benefits'!F14)),IF(OR('Inputs'!D33&lt;0,'Inputs'!D33&gt;'Inputs'!D32,'Inputs'!D33&gt;'Benefits'!F14),"Invalid overlap",'Inputs'!D33*C6/12),"Not calculated")</x:f>
        <x:v>0</x:v>
      </x:c>
    </x:row>
    <x:row r="7" ht="32" customHeight="1">
      <x:c r="A7" s="157" t="n">
        <x:v>2</x:v>
      </x:c>
      <x:c r="B7" s="147" t="n">
        <x:f>IF('Inputs'!B7="","Set start date",IF(AND(ISNUMBER('Inputs'!B7),'Inputs'!B7&gt;0),EDATE('Inputs'!B7,A7-1),"Invalid date"))</x:f>
        <x:v>46388</x:v>
      </x:c>
      <x:c r="C7" s="230" t="n">
        <x:f>IF(ISNUMBER('Inputs'!B38),IF(OR('Inputs'!B38&lt;0,'Inputs'!B38&gt;1),"Invalid ramp",'Inputs'!B38),"Missing ramp")</x:f>
        <x:v>0</x:v>
      </x:c>
      <x:c r="D7" s="227" t="n">
        <x:f>IF(AND(ISNUMBER(C7),ISNUMBER('Benefits'!E14)),C7*'Benefits'!E14/12,"Not calculated")</x:f>
        <x:v>0</x:v>
      </x:c>
      <x:c r="E7" s="219" t="n">
        <x:f>IF(AND(ISNUMBER(C7),ISNUMBER('Benefits'!F14)),C7*'Benefits'!F14/12,"Not calculated")</x:f>
        <x:v>0</x:v>
      </x:c>
      <x:c r="F7" s="219" t="n">
        <x:f>IF(AND(ISNUMBER(C7),ISNUMBER('Inputs'!D32)),IF('Inputs'!D32&lt;0,"Invalid savings",'Inputs'!D32*C7/12),"Not calculated")</x:f>
        <x:v>0</x:v>
      </x:c>
      <x:c r="G7" s="219" t="n">
        <x:f>IF(COUNT('Inputs'!B10:B11)=2,IF(MIN('Inputs'!B10:B11)&lt;0,"Invalid fee",IF(MOD(A7-1,12)=0,SUM('Inputs'!B10:B11),0)),"Missing fee")</x:f>
        <x:v>0</x:v>
      </x:c>
      <x:c r="H7" s="219" t="n">
        <x:f>IF(AND(COUNT('Inputs'!B13:B16)=4,'Inputs'!B13&gt;=0,'Inputs'!B14&gt;=0,'Inputs'!B14&lt;=1,'Inputs'!B15&gt;=1,'Inputs'!B16&lt;=12,'Inputs'!B15&lt;='Inputs'!B16,MOD('Inputs'!B15,1)=0,MOD('Inputs'!B16,1)=0),IF(A7='Inputs'!B15,'Inputs'!B13*'Inputs'!B14,0)+IF(A7='Inputs'!B16,'Inputs'!B13*(1-'Inputs'!B14),0),"Missing / invalid milestone")</x:f>
        <x:v>4800</x:v>
      </x:c>
      <x:c r="I7" s="219" t="n">
        <x:f>IF(AND(ISNUMBER('Inputs'!B12),ISNUMBER('Inputs'!B17),ISNUMBER(H7)),IF(OR('Inputs'!B12&lt;0,'Inputs'!B17&lt;0),"Invalid cost",'Inputs'!B12/12+IF(A7='Inputs'!B15,'Inputs'!B17,0)),"Missing cost")</x:f>
        <x:v>0</x:v>
      </x:c>
      <x:c r="J7" s="221" t="n">
        <x:f>IF(COUNT(G7:I7)=3,SUM(G7:I7),"Not calculated")</x:f>
        <x:v>4800</x:v>
      </x:c>
      <x:c r="K7" s="219" t="n">
        <x:f>IF(AND(COUNT('Inputs'!B18:B20)=3,ISNUMBER('Inputs'!B21),ISNUMBER(H7)),IF(OR(MIN('Inputs'!B18:B20)&lt;0,'Inputs'!B21&lt;0),"Invalid hours",('Inputs'!B21+IF(A7='Inputs'!B15,'Inputs'!B18,0)+IF(A7='Inputs'!B16,'Inputs'!B19,0))*'Inputs'!B20),"Missing hours")</x:f>
        <x:v>15980</x:v>
      </x:c>
      <x:c r="L7" s="219" t="n">
        <x:f>IF(COUNT(J7:K7)=2,SUM(J7:K7),"Not calculated")</x:f>
        <x:v>20780</x:v>
      </x:c>
      <x:c r="M7" s="219" t="n">
        <x:f>IF(AND(ISNUMBER(F7),ISNUMBER(J7)),F7-J7,"Not calculated")</x:f>
        <x:v>-4800</x:v>
      </x:c>
      <x:c r="N7" s="221" t="n">
        <x:f>IF(COUNT(M$6:M7)=A7,SUM(M$6:M7),"Not calculated")</x:f>
        <x:v>-79200</x:v>
      </x:c>
      <x:c r="O7" s="219" t="n">
        <x:f>IF(AND(COUNT(E7:F7)=2,ISNUMBER(L7),ISNUMBER(T7)),SUM(E7:F7)-T7-L7,"Not calculated")</x:f>
        <x:v>-20780</x:v>
      </x:c>
      <x:c r="P7" s="221" t="n">
        <x:f>IF(COUNT(O$6:O7)=A7,SUM(O$6:O7),"Not calculated")</x:f>
        <x:v>-104020</x:v>
      </x:c>
      <x:c r="Q7" s="221" t="n">
        <x:f>IF(AND(ISNUMBER(O7),ISNUMBER('Inputs'!B22)),IF(OR('Inputs'!B22&lt;0,'Inputs'!B22&gt;1),"Invalid rate",O7/(1+'Inputs'!B22)^(A7/12)),"Not calculated")</x:f>
        <x:v>-20452.517002128956</x:v>
      </x:c>
      <x:c r="R7" s="96" t="n">
        <x:f>IF(COUNT(N7:N$41)=37-A7,IF(MIN(N7:N$41)&gt;=0,1,0),"Not calculated")</x:f>
        <x:v>0</x:v>
      </x:c>
      <x:c r="S7" s="96" t="n">
        <x:f>IF(COUNT(P7:P$41)=37-A7,IF(MIN(P7:P$41)&gt;=0,1,0),"Not calculated")</x:f>
        <x:v>0</x:v>
      </x:c>
      <x:c r="T7" s="224" t="n">
        <x:f>IF(AND(ISNUMBER(C7),COUNT('Inputs'!D32:D33)=2,ISNUMBER('Benefits'!F14)),IF(OR('Inputs'!D33&lt;0,'Inputs'!D33&gt;'Inputs'!D32,'Inputs'!D33&gt;'Benefits'!F14),"Invalid overlap",'Inputs'!D33*C7/12),"Not calculated")</x:f>
        <x:v>0</x:v>
      </x:c>
    </x:row>
    <x:row r="8" ht="32" customHeight="1">
      <x:c r="A8" s="156" t="n">
        <x:v>3</x:v>
      </x:c>
      <x:c r="B8" s="140" t="n">
        <x:f>IF('Inputs'!B7="","Set start date",IF(AND(ISNUMBER('Inputs'!B7),'Inputs'!B7&gt;0),EDATE('Inputs'!B7,A8-1),"Invalid date"))</x:f>
        <x:v>46419</x:v>
      </x:c>
      <x:c r="C8" s="229" t="n">
        <x:f>IF(ISNUMBER('Inputs'!B39),IF(OR('Inputs'!B39&lt;0,'Inputs'!B39&gt;1),"Invalid ramp",'Inputs'!B39),"Missing ramp")</x:f>
        <x:v>0.25</x:v>
      </x:c>
      <x:c r="D8" s="226" t="n">
        <x:f>IF(AND(ISNUMBER(C8),ISNUMBER('Benefits'!E14)),C8*'Benefits'!E14/12,"Not calculated")</x:f>
        <x:v>49.98</x:v>
      </x:c>
      <x:c r="E8" s="218" t="n">
        <x:f>IF(AND(ISNUMBER(C8),ISNUMBER('Benefits'!F14)),C8*'Benefits'!F14/12,"Not calculated")</x:f>
        <x:v>4248.3</x:v>
      </x:c>
      <x:c r="F8" s="218" t="n">
        <x:f>IF(AND(ISNUMBER(C8),ISNUMBER('Inputs'!D32)),IF('Inputs'!D32&lt;0,"Invalid savings",'Inputs'!D32*C8/12),"Not calculated")</x:f>
        <x:v>0</x:v>
      </x:c>
      <x:c r="G8" s="218" t="n">
        <x:f>IF(COUNT('Inputs'!B10:B11)=2,IF(MIN('Inputs'!B10:B11)&lt;0,"Invalid fee",IF(MOD(A8-1,12)=0,SUM('Inputs'!B10:B11),0)),"Missing fee")</x:f>
        <x:v>0</x:v>
      </x:c>
      <x:c r="H8" s="218" t="n">
        <x:f>IF(AND(COUNT('Inputs'!B13:B16)=4,'Inputs'!B13&gt;=0,'Inputs'!B14&gt;=0,'Inputs'!B14&lt;=1,'Inputs'!B15&gt;=1,'Inputs'!B16&lt;=12,'Inputs'!B15&lt;='Inputs'!B16,MOD('Inputs'!B15,1)=0,MOD('Inputs'!B16,1)=0),IF(A8='Inputs'!B15,'Inputs'!B13*'Inputs'!B14,0)+IF(A8='Inputs'!B16,'Inputs'!B13*(1-'Inputs'!B14),0),"Missing / invalid milestone")</x:f>
        <x:v>0</x:v>
      </x:c>
      <x:c r="I8" s="218" t="n">
        <x:f>IF(AND(ISNUMBER('Inputs'!B12),ISNUMBER('Inputs'!B17),ISNUMBER(H8)),IF(OR('Inputs'!B12&lt;0,'Inputs'!B17&lt;0),"Invalid cost",'Inputs'!B12/12+IF(A8='Inputs'!B15,'Inputs'!B17,0)),"Missing cost")</x:f>
        <x:v>0</x:v>
      </x:c>
      <x:c r="J8" s="221" t="n">
        <x:f>IF(COUNT(G8:I8)=3,SUM(G8:I8),"Not calculated")</x:f>
        <x:v>0</x:v>
      </x:c>
      <x:c r="K8" s="218" t="n">
        <x:f>IF(AND(COUNT('Inputs'!B18:B20)=3,ISNUMBER('Inputs'!B21),ISNUMBER(H8)),IF(OR(MIN('Inputs'!B18:B20)&lt;0,'Inputs'!B21&lt;0),"Invalid hours",('Inputs'!B21+IF(A8='Inputs'!B15,'Inputs'!B18,0)+IF(A8='Inputs'!B16,'Inputs'!B19,0))*'Inputs'!B20),"Missing hours")</x:f>
        <x:v>680</x:v>
      </x:c>
      <x:c r="L8" s="218" t="n">
        <x:f>IF(COUNT(J8:K8)=2,SUM(J8:K8),"Not calculated")</x:f>
        <x:v>680</x:v>
      </x:c>
      <x:c r="M8" s="218" t="n">
        <x:f>IF(AND(ISNUMBER(F8),ISNUMBER(J8)),F8-J8,"Not calculated")</x:f>
        <x:v>0</x:v>
      </x:c>
      <x:c r="N8" s="221" t="n">
        <x:f>IF(COUNT(M$6:M8)=A8,SUM(M$6:M8),"Not calculated")</x:f>
        <x:v>-79200</x:v>
      </x:c>
      <x:c r="O8" s="218" t="n">
        <x:f>IF(AND(COUNT(E8:F8)=2,ISNUMBER(L8),ISNUMBER(T8)),SUM(E8:F8)-T8-L8,"Not calculated")</x:f>
        <x:v>3568.3</x:v>
      </x:c>
      <x:c r="P8" s="221" t="n">
        <x:f>IF(COUNT(O$6:O8)=A8,SUM(O$6:O8),"Not calculated")</x:f>
        <x:v>-100451.7</x:v>
      </x:c>
      <x:c r="Q8" s="221" t="n">
        <x:f>IF(AND(ISNUMBER(O8),ISNUMBER('Inputs'!B22)),IF(OR('Inputs'!B22&lt;0,'Inputs'!B22&gt;1),"Invalid rate",O8/(1+'Inputs'!B22)^(A8/12)),"Not calculated")</x:f>
        <x:v>3484.281128191979</x:v>
      </x:c>
      <x:c r="R8" s="72" t="n">
        <x:f>IF(COUNT(N8:N$41)=37-A8,IF(MIN(N8:N$41)&gt;=0,1,0),"Not calculated")</x:f>
        <x:v>0</x:v>
      </x:c>
      <x:c r="S8" s="72" t="n">
        <x:f>IF(COUNT(P8:P$41)=37-A8,IF(MIN(P8:P$41)&gt;=0,1,0),"Not calculated")</x:f>
        <x:v>0</x:v>
      </x:c>
      <x:c r="T8" s="223" t="n">
        <x:f>IF(AND(ISNUMBER(C8),COUNT('Inputs'!D32:D33)=2,ISNUMBER('Benefits'!F14)),IF(OR('Inputs'!D33&lt;0,'Inputs'!D33&gt;'Inputs'!D32,'Inputs'!D33&gt;'Benefits'!F14),"Invalid overlap",'Inputs'!D33*C8/12),"Not calculated")</x:f>
        <x:v>0</x:v>
      </x:c>
    </x:row>
    <x:row r="9" ht="32" customHeight="1">
      <x:c r="A9" s="157" t="n">
        <x:v>4</x:v>
      </x:c>
      <x:c r="B9" s="147" t="n">
        <x:f>IF('Inputs'!B7="","Set start date",IF(AND(ISNUMBER('Inputs'!B7),'Inputs'!B7&gt;0),EDATE('Inputs'!B7,A9-1),"Invalid date"))</x:f>
        <x:v>46447</x:v>
      </x:c>
      <x:c r="C9" s="230" t="n">
        <x:f>IF(ISNUMBER('Inputs'!B40),IF(OR('Inputs'!B40&lt;0,'Inputs'!B40&gt;1),"Invalid ramp",'Inputs'!B40),"Missing ramp")</x:f>
        <x:v>0.5</x:v>
      </x:c>
      <x:c r="D9" s="227" t="n">
        <x:f>IF(AND(ISNUMBER(C9),ISNUMBER('Benefits'!E14)),C9*'Benefits'!E14/12,"Not calculated")</x:f>
        <x:v>99.96</x:v>
      </x:c>
      <x:c r="E9" s="219" t="n">
        <x:f>IF(AND(ISNUMBER(C9),ISNUMBER('Benefits'!F14)),C9*'Benefits'!F14/12,"Not calculated")</x:f>
        <x:v>8496.6</x:v>
      </x:c>
      <x:c r="F9" s="219" t="n">
        <x:f>IF(AND(ISNUMBER(C9),ISNUMBER('Inputs'!D32)),IF('Inputs'!D32&lt;0,"Invalid savings",'Inputs'!D32*C9/12),"Not calculated")</x:f>
        <x:v>0</x:v>
      </x:c>
      <x:c r="G9" s="219" t="n">
        <x:f>IF(COUNT('Inputs'!B10:B11)=2,IF(MIN('Inputs'!B10:B11)&lt;0,"Invalid fee",IF(MOD(A9-1,12)=0,SUM('Inputs'!B10:B11),0)),"Missing fee")</x:f>
        <x:v>0</x:v>
      </x:c>
      <x:c r="H9" s="219" t="n">
        <x:f>IF(AND(COUNT('Inputs'!B13:B16)=4,'Inputs'!B13&gt;=0,'Inputs'!B14&gt;=0,'Inputs'!B14&lt;=1,'Inputs'!B15&gt;=1,'Inputs'!B16&lt;=12,'Inputs'!B15&lt;='Inputs'!B16,MOD('Inputs'!B15,1)=0,MOD('Inputs'!B16,1)=0),IF(A9='Inputs'!B15,'Inputs'!B13*'Inputs'!B14,0)+IF(A9='Inputs'!B16,'Inputs'!B13*(1-'Inputs'!B14),0),"Missing / invalid milestone")</x:f>
        <x:v>0</x:v>
      </x:c>
      <x:c r="I9" s="219" t="n">
        <x:f>IF(AND(ISNUMBER('Inputs'!B12),ISNUMBER('Inputs'!B17),ISNUMBER(H9)),IF(OR('Inputs'!B12&lt;0,'Inputs'!B17&lt;0),"Invalid cost",'Inputs'!B12/12+IF(A9='Inputs'!B15,'Inputs'!B17,0)),"Missing cost")</x:f>
        <x:v>0</x:v>
      </x:c>
      <x:c r="J9" s="221" t="n">
        <x:f>IF(COUNT(G9:I9)=3,SUM(G9:I9),"Not calculated")</x:f>
        <x:v>0</x:v>
      </x:c>
      <x:c r="K9" s="219" t="n">
        <x:f>IF(AND(COUNT('Inputs'!B18:B20)=3,ISNUMBER('Inputs'!B21),ISNUMBER(H9)),IF(OR(MIN('Inputs'!B18:B20)&lt;0,'Inputs'!B21&lt;0),"Invalid hours",('Inputs'!B21+IF(A9='Inputs'!B15,'Inputs'!B18,0)+IF(A9='Inputs'!B16,'Inputs'!B19,0))*'Inputs'!B20),"Missing hours")</x:f>
        <x:v>680</x:v>
      </x:c>
      <x:c r="L9" s="219" t="n">
        <x:f>IF(COUNT(J9:K9)=2,SUM(J9:K9),"Not calculated")</x:f>
        <x:v>680</x:v>
      </x:c>
      <x:c r="M9" s="219" t="n">
        <x:f>IF(AND(ISNUMBER(F9),ISNUMBER(J9)),F9-J9,"Not calculated")</x:f>
        <x:v>0</x:v>
      </x:c>
      <x:c r="N9" s="221" t="n">
        <x:f>IF(COUNT(M$6:M9)=A9,SUM(M$6:M9),"Not calculated")</x:f>
        <x:v>-79200</x:v>
      </x:c>
      <x:c r="O9" s="219" t="n">
        <x:f>IF(AND(COUNT(E9:F9)=2,ISNUMBER(L9),ISNUMBER(T9)),SUM(E9:F9)-T9-L9,"Not calculated")</x:f>
        <x:v>7816.6</x:v>
      </x:c>
      <x:c r="P9" s="221" t="n">
        <x:f>IF(COUNT(O$6:O9)=A9,SUM(O$6:O9),"Not calculated")</x:f>
        <x:v>-92635.09999999999</x:v>
      </x:c>
      <x:c r="Q9" s="221" t="n">
        <x:f>IF(AND(ISNUMBER(O9),ISNUMBER('Inputs'!B22)),IF(OR('Inputs'!B22&lt;0,'Inputs'!B22&gt;1),"Invalid rate",O9/(1+'Inputs'!B22)^(A9/12)),"Not calculated")</x:f>
        <x:v>7572.169494463536</x:v>
      </x:c>
      <x:c r="R9" s="96" t="n">
        <x:f>IF(COUNT(N9:N$41)=37-A9,IF(MIN(N9:N$41)&gt;=0,1,0),"Not calculated")</x:f>
        <x:v>0</x:v>
      </x:c>
      <x:c r="S9" s="96" t="n">
        <x:f>IF(COUNT(P9:P$41)=37-A9,IF(MIN(P9:P$41)&gt;=0,1,0),"Not calculated")</x:f>
        <x:v>0</x:v>
      </x:c>
      <x:c r="T9" s="224" t="n">
        <x:f>IF(AND(ISNUMBER(C9),COUNT('Inputs'!D32:D33)=2,ISNUMBER('Benefits'!F14)),IF(OR('Inputs'!D33&lt;0,'Inputs'!D33&gt;'Inputs'!D32,'Inputs'!D33&gt;'Benefits'!F14),"Invalid overlap",'Inputs'!D33*C9/12),"Not calculated")</x:f>
        <x:v>0</x:v>
      </x:c>
    </x:row>
    <x:row r="10" ht="32" customHeight="1">
      <x:c r="A10" s="156" t="n">
        <x:v>5</x:v>
      </x:c>
      <x:c r="B10" s="140" t="n">
        <x:f>IF('Inputs'!B7="","Set start date",IF(AND(ISNUMBER('Inputs'!B7),'Inputs'!B7&gt;0),EDATE('Inputs'!B7,A10-1),"Invalid date"))</x:f>
        <x:v>46478</x:v>
      </x:c>
      <x:c r="C10" s="229" t="n">
        <x:f>IF(ISNUMBER('Inputs'!B41),IF(OR('Inputs'!B41&lt;0,'Inputs'!B41&gt;1),"Invalid ramp",'Inputs'!B41),"Missing ramp")</x:f>
        <x:v>0.75</x:v>
      </x:c>
      <x:c r="D10" s="226" t="n">
        <x:f>IF(AND(ISNUMBER(C10),ISNUMBER('Benefits'!E14)),C10*'Benefits'!E14/12,"Not calculated")</x:f>
        <x:v>149.94</x:v>
      </x:c>
      <x:c r="E10" s="218" t="n">
        <x:f>IF(AND(ISNUMBER(C10),ISNUMBER('Benefits'!F14)),C10*'Benefits'!F14/12,"Not calculated")</x:f>
        <x:v>12744.9</x:v>
      </x:c>
      <x:c r="F10" s="218" t="n">
        <x:f>IF(AND(ISNUMBER(C10),ISNUMBER('Inputs'!D32)),IF('Inputs'!D32&lt;0,"Invalid savings",'Inputs'!D32*C10/12),"Not calculated")</x:f>
        <x:v>0</x:v>
      </x:c>
      <x:c r="G10" s="218" t="n">
        <x:f>IF(COUNT('Inputs'!B10:B11)=2,IF(MIN('Inputs'!B10:B11)&lt;0,"Invalid fee",IF(MOD(A10-1,12)=0,SUM('Inputs'!B10:B11),0)),"Missing fee")</x:f>
        <x:v>0</x:v>
      </x:c>
      <x:c r="H10" s="218" t="n">
        <x:f>IF(AND(COUNT('Inputs'!B13:B16)=4,'Inputs'!B13&gt;=0,'Inputs'!B14&gt;=0,'Inputs'!B14&lt;=1,'Inputs'!B15&gt;=1,'Inputs'!B16&lt;=12,'Inputs'!B15&lt;='Inputs'!B16,MOD('Inputs'!B15,1)=0,MOD('Inputs'!B16,1)=0),IF(A10='Inputs'!B15,'Inputs'!B13*'Inputs'!B14,0)+IF(A10='Inputs'!B16,'Inputs'!B13*(1-'Inputs'!B14),0),"Missing / invalid milestone")</x:f>
        <x:v>0</x:v>
      </x:c>
      <x:c r="I10" s="218" t="n">
        <x:f>IF(AND(ISNUMBER('Inputs'!B12),ISNUMBER('Inputs'!B17),ISNUMBER(H10)),IF(OR('Inputs'!B12&lt;0,'Inputs'!B17&lt;0),"Invalid cost",'Inputs'!B12/12+IF(A10='Inputs'!B15,'Inputs'!B17,0)),"Missing cost")</x:f>
        <x:v>0</x:v>
      </x:c>
      <x:c r="J10" s="221" t="n">
        <x:f>IF(COUNT(G10:I10)=3,SUM(G10:I10),"Not calculated")</x:f>
        <x:v>0</x:v>
      </x:c>
      <x:c r="K10" s="218" t="n">
        <x:f>IF(AND(COUNT('Inputs'!B18:B20)=3,ISNUMBER('Inputs'!B21),ISNUMBER(H10)),IF(OR(MIN('Inputs'!B18:B20)&lt;0,'Inputs'!B21&lt;0),"Invalid hours",('Inputs'!B21+IF(A10='Inputs'!B15,'Inputs'!B18,0)+IF(A10='Inputs'!B16,'Inputs'!B19,0))*'Inputs'!B20),"Missing hours")</x:f>
        <x:v>680</x:v>
      </x:c>
      <x:c r="L10" s="218" t="n">
        <x:f>IF(COUNT(J10:K10)=2,SUM(J10:K10),"Not calculated")</x:f>
        <x:v>680</x:v>
      </x:c>
      <x:c r="M10" s="218" t="n">
        <x:f>IF(AND(ISNUMBER(F10),ISNUMBER(J10)),F10-J10,"Not calculated")</x:f>
        <x:v>0</x:v>
      </x:c>
      <x:c r="N10" s="221" t="n">
        <x:f>IF(COUNT(M$6:M10)=A10,SUM(M$6:M10),"Not calculated")</x:f>
        <x:v>-79200</x:v>
      </x:c>
      <x:c r="O10" s="218" t="n">
        <x:f>IF(AND(COUNT(E10:F10)=2,ISNUMBER(L10),ISNUMBER(T10)),SUM(E10:F10)-T10-L10,"Not calculated")</x:f>
        <x:v>12064.9</x:v>
      </x:c>
      <x:c r="P10" s="221" t="n">
        <x:f>IF(COUNT(O$6:O10)=A10,SUM(O$6:O10),"Not calculated")</x:f>
        <x:v>-80570.2</x:v>
      </x:c>
      <x:c r="Q10" s="221" t="n">
        <x:f>IF(AND(ISNUMBER(O10),ISNUMBER('Inputs'!B22)),IF(OR('Inputs'!B22&lt;0,'Inputs'!B22&gt;1),"Invalid rate",O10/(1+'Inputs'!B22)^(A10/12)),"Not calculated")</x:f>
        <x:v>11595.160765546618</x:v>
      </x:c>
      <x:c r="R10" s="72" t="n">
        <x:f>IF(COUNT(N10:N$41)=37-A10,IF(MIN(N10:N$41)&gt;=0,1,0),"Not calculated")</x:f>
        <x:v>0</x:v>
      </x:c>
      <x:c r="S10" s="72" t="n">
        <x:f>IF(COUNT(P10:P$41)=37-A10,IF(MIN(P10:P$41)&gt;=0,1,0),"Not calculated")</x:f>
        <x:v>0</x:v>
      </x:c>
      <x:c r="T10" s="223" t="n">
        <x:f>IF(AND(ISNUMBER(C10),COUNT('Inputs'!D32:D33)=2,ISNUMBER('Benefits'!F14)),IF(OR('Inputs'!D33&lt;0,'Inputs'!D33&gt;'Inputs'!D32,'Inputs'!D33&gt;'Benefits'!F14),"Invalid overlap",'Inputs'!D33*C10/12),"Not calculated")</x:f>
        <x:v>0</x:v>
      </x:c>
    </x:row>
    <x:row r="11" ht="32" customHeight="1">
      <x:c r="A11" s="157" t="n">
        <x:v>6</x:v>
      </x:c>
      <x:c r="B11" s="147" t="n">
        <x:f>IF('Inputs'!B7="","Set start date",IF(AND(ISNUMBER('Inputs'!B7),'Inputs'!B7&gt;0),EDATE('Inputs'!B7,A11-1),"Invalid date"))</x:f>
        <x:v>46508</x:v>
      </x:c>
      <x:c r="C11" s="230" t="n">
        <x:f>IF(ISNUMBER('Inputs'!B42),IF(OR('Inputs'!B42&lt;0,'Inputs'!B42&gt;1),"Invalid ramp",'Inputs'!B42),"Missing ramp")</x:f>
        <x:v>1</x:v>
      </x:c>
      <x:c r="D11" s="227" t="n">
        <x:f>IF(AND(ISNUMBER(C11),ISNUMBER('Benefits'!E14)),C11*'Benefits'!E14/12,"Not calculated")</x:f>
        <x:v>199.92</x:v>
      </x:c>
      <x:c r="E11" s="219" t="n">
        <x:f>IF(AND(ISNUMBER(C11),ISNUMBER('Benefits'!F14)),C11*'Benefits'!F14/12,"Not calculated")</x:f>
        <x:v>16993.2</x:v>
      </x:c>
      <x:c r="F11" s="219" t="n">
        <x:f>IF(AND(ISNUMBER(C11),ISNUMBER('Inputs'!D32)),IF('Inputs'!D32&lt;0,"Invalid savings",'Inputs'!D32*C11/12),"Not calculated")</x:f>
        <x:v>0</x:v>
      </x:c>
      <x:c r="G11" s="219" t="n">
        <x:f>IF(COUNT('Inputs'!B10:B11)=2,IF(MIN('Inputs'!B10:B11)&lt;0,"Invalid fee",IF(MOD(A11-1,12)=0,SUM('Inputs'!B10:B11),0)),"Missing fee")</x:f>
        <x:v>0</x:v>
      </x:c>
      <x:c r="H11" s="219" t="n">
        <x:f>IF(AND(COUNT('Inputs'!B13:B16)=4,'Inputs'!B13&gt;=0,'Inputs'!B14&gt;=0,'Inputs'!B14&lt;=1,'Inputs'!B15&gt;=1,'Inputs'!B16&lt;=12,'Inputs'!B15&lt;='Inputs'!B16,MOD('Inputs'!B15,1)=0,MOD('Inputs'!B16,1)=0),IF(A11='Inputs'!B15,'Inputs'!B13*'Inputs'!B14,0)+IF(A11='Inputs'!B16,'Inputs'!B13*(1-'Inputs'!B14),0),"Missing / invalid milestone")</x:f>
        <x:v>0</x:v>
      </x:c>
      <x:c r="I11" s="219" t="n">
        <x:f>IF(AND(ISNUMBER('Inputs'!B12),ISNUMBER('Inputs'!B17),ISNUMBER(H11)),IF(OR('Inputs'!B12&lt;0,'Inputs'!B17&lt;0),"Invalid cost",'Inputs'!B12/12+IF(A11='Inputs'!B15,'Inputs'!B17,0)),"Missing cost")</x:f>
        <x:v>0</x:v>
      </x:c>
      <x:c r="J11" s="221" t="n">
        <x:f>IF(COUNT(G11:I11)=3,SUM(G11:I11),"Not calculated")</x:f>
        <x:v>0</x:v>
      </x:c>
      <x:c r="K11" s="219" t="n">
        <x:f>IF(AND(COUNT('Inputs'!B18:B20)=3,ISNUMBER('Inputs'!B21),ISNUMBER(H11)),IF(OR(MIN('Inputs'!B18:B20)&lt;0,'Inputs'!B21&lt;0),"Invalid hours",('Inputs'!B21+IF(A11='Inputs'!B15,'Inputs'!B18,0)+IF(A11='Inputs'!B16,'Inputs'!B19,0))*'Inputs'!B20),"Missing hours")</x:f>
        <x:v>680</x:v>
      </x:c>
      <x:c r="L11" s="219" t="n">
        <x:f>IF(COUNT(J11:K11)=2,SUM(J11:K11),"Not calculated")</x:f>
        <x:v>680</x:v>
      </x:c>
      <x:c r="M11" s="219" t="n">
        <x:f>IF(AND(ISNUMBER(F11),ISNUMBER(J11)),F11-J11,"Not calculated")</x:f>
        <x:v>0</x:v>
      </x:c>
      <x:c r="N11" s="221" t="n">
        <x:f>IF(COUNT(M$6:M11)=A11,SUM(M$6:M11),"Not calculated")</x:f>
        <x:v>-79200</x:v>
      </x:c>
      <x:c r="O11" s="219" t="n">
        <x:f>IF(AND(COUNT(E11:F11)=2,ISNUMBER(L11),ISNUMBER(T11)),SUM(E11:F11)-T11-L11,"Not calculated")</x:f>
        <x:v>16313.2</x:v>
      </x:c>
      <x:c r="P11" s="221" t="n">
        <x:f>IF(COUNT(O$6:O11)=A11,SUM(O$6:O11),"Not calculated")</x:f>
        <x:v>-64257</x:v>
      </x:c>
      <x:c r="Q11" s="221" t="n">
        <x:f>IF(AND(ISNUMBER(O11),ISNUMBER('Inputs'!B22)),IF(OR('Inputs'!B22&lt;0,'Inputs'!B22&gt;1),"Invalid rate",O11/(1+'Inputs'!B22)^(A11/12)),"Not calculated")</x:f>
        <x:v>15554.025910881195</x:v>
      </x:c>
      <x:c r="R11" s="96" t="n">
        <x:f>IF(COUNT(N11:N$41)=37-A11,IF(MIN(N11:N$41)&gt;=0,1,0),"Not calculated")</x:f>
        <x:v>0</x:v>
      </x:c>
      <x:c r="S11" s="96" t="n">
        <x:f>IF(COUNT(P11:P$41)=37-A11,IF(MIN(P11:P$41)&gt;=0,1,0),"Not calculated")</x:f>
        <x:v>0</x:v>
      </x:c>
      <x:c r="T11" s="224" t="n">
        <x:f>IF(AND(ISNUMBER(C11),COUNT('Inputs'!D32:D33)=2,ISNUMBER('Benefits'!F14)),IF(OR('Inputs'!D33&lt;0,'Inputs'!D33&gt;'Inputs'!D32,'Inputs'!D33&gt;'Benefits'!F14),"Invalid overlap",'Inputs'!D33*C11/12),"Not calculated")</x:f>
        <x:v>0</x:v>
      </x:c>
    </x:row>
    <x:row r="12" ht="32" customHeight="1">
      <x:c r="A12" s="156" t="n">
        <x:v>7</x:v>
      </x:c>
      <x:c r="B12" s="140" t="n">
        <x:f>IF('Inputs'!B7="","Set start date",IF(AND(ISNUMBER('Inputs'!B7),'Inputs'!B7&gt;0),EDATE('Inputs'!B7,A12-1),"Invalid date"))</x:f>
        <x:v>46539</x:v>
      </x:c>
      <x:c r="C12" s="229" t="n">
        <x:f>IF(ISNUMBER('Inputs'!B43),IF(OR('Inputs'!B43&lt;0,'Inputs'!B43&gt;1),"Invalid ramp",'Inputs'!B43),"Missing ramp")</x:f>
        <x:v>1</x:v>
      </x:c>
      <x:c r="D12" s="226" t="n">
        <x:f>IF(AND(ISNUMBER(C12),ISNUMBER('Benefits'!E14)),C12*'Benefits'!E14/12,"Not calculated")</x:f>
        <x:v>199.92</x:v>
      </x:c>
      <x:c r="E12" s="218" t="n">
        <x:f>IF(AND(ISNUMBER(C12),ISNUMBER('Benefits'!F14)),C12*'Benefits'!F14/12,"Not calculated")</x:f>
        <x:v>16993.2</x:v>
      </x:c>
      <x:c r="F12" s="218" t="n">
        <x:f>IF(AND(ISNUMBER(C12),ISNUMBER('Inputs'!D32)),IF('Inputs'!D32&lt;0,"Invalid savings",'Inputs'!D32*C12/12),"Not calculated")</x:f>
        <x:v>0</x:v>
      </x:c>
      <x:c r="G12" s="218" t="n">
        <x:f>IF(COUNT('Inputs'!B10:B11)=2,IF(MIN('Inputs'!B10:B11)&lt;0,"Invalid fee",IF(MOD(A12-1,12)=0,SUM('Inputs'!B10:B11),0)),"Missing fee")</x:f>
        <x:v>0</x:v>
      </x:c>
      <x:c r="H12" s="218" t="n">
        <x:f>IF(AND(COUNT('Inputs'!B13:B16)=4,'Inputs'!B13&gt;=0,'Inputs'!B14&gt;=0,'Inputs'!B14&lt;=1,'Inputs'!B15&gt;=1,'Inputs'!B16&lt;=12,'Inputs'!B15&lt;='Inputs'!B16,MOD('Inputs'!B15,1)=0,MOD('Inputs'!B16,1)=0),IF(A12='Inputs'!B15,'Inputs'!B13*'Inputs'!B14,0)+IF(A12='Inputs'!B16,'Inputs'!B13*(1-'Inputs'!B14),0),"Missing / invalid milestone")</x:f>
        <x:v>0</x:v>
      </x:c>
      <x:c r="I12" s="218" t="n">
        <x:f>IF(AND(ISNUMBER('Inputs'!B12),ISNUMBER('Inputs'!B17),ISNUMBER(H12)),IF(OR('Inputs'!B12&lt;0,'Inputs'!B17&lt;0),"Invalid cost",'Inputs'!B12/12+IF(A12='Inputs'!B15,'Inputs'!B17,0)),"Missing cost")</x:f>
        <x:v>0</x:v>
      </x:c>
      <x:c r="J12" s="221" t="n">
        <x:f>IF(COUNT(G12:I12)=3,SUM(G12:I12),"Not calculated")</x:f>
        <x:v>0</x:v>
      </x:c>
      <x:c r="K12" s="218" t="n">
        <x:f>IF(AND(COUNT('Inputs'!B18:B20)=3,ISNUMBER('Inputs'!B21),ISNUMBER(H12)),IF(OR(MIN('Inputs'!B18:B20)&lt;0,'Inputs'!B21&lt;0),"Invalid hours",('Inputs'!B21+IF(A12='Inputs'!B15,'Inputs'!B18,0)+IF(A12='Inputs'!B16,'Inputs'!B19,0))*'Inputs'!B20),"Missing hours")</x:f>
        <x:v>680</x:v>
      </x:c>
      <x:c r="L12" s="218" t="n">
        <x:f>IF(COUNT(J12:K12)=2,SUM(J12:K12),"Not calculated")</x:f>
        <x:v>680</x:v>
      </x:c>
      <x:c r="M12" s="218" t="n">
        <x:f>IF(AND(ISNUMBER(F12),ISNUMBER(J12)),F12-J12,"Not calculated")</x:f>
        <x:v>0</x:v>
      </x:c>
      <x:c r="N12" s="221" t="n">
        <x:f>IF(COUNT(M$6:M12)=A12,SUM(M$6:M12),"Not calculated")</x:f>
        <x:v>-79200</x:v>
      </x:c>
      <x:c r="O12" s="218" t="n">
        <x:f>IF(AND(COUNT(E12:F12)=2,ISNUMBER(L12),ISNUMBER(T12)),SUM(E12:F12)-T12-L12,"Not calculated")</x:f>
        <x:v>16313.2</x:v>
      </x:c>
      <x:c r="P12" s="221" t="n">
        <x:f>IF(COUNT(O$6:O12)=A12,SUM(O$6:O12),"Not calculated")</x:f>
        <x:v>-47943.8</x:v>
      </x:c>
      <x:c r="Q12" s="221" t="n">
        <x:f>IF(AND(ISNUMBER(O12),ISNUMBER('Inputs'!B22)),IF(OR('Inputs'!B22&lt;0,'Inputs'!B22&gt;1),"Invalid rate",O12/(1+'Inputs'!B22)^(A12/12)),"Not calculated")</x:f>
        <x:v>15430.977132273245</x:v>
      </x:c>
      <x:c r="R12" s="72" t="n">
        <x:f>IF(COUNT(N12:N$41)=37-A12,IF(MIN(N12:N$41)&gt;=0,1,0),"Not calculated")</x:f>
        <x:v>0</x:v>
      </x:c>
      <x:c r="S12" s="72" t="n">
        <x:f>IF(COUNT(P12:P$41)=37-A12,IF(MIN(P12:P$41)&gt;=0,1,0),"Not calculated")</x:f>
        <x:v>0</x:v>
      </x:c>
      <x:c r="T12" s="223" t="n">
        <x:f>IF(AND(ISNUMBER(C12),COUNT('Inputs'!D32:D33)=2,ISNUMBER('Benefits'!F14)),IF(OR('Inputs'!D33&lt;0,'Inputs'!D33&gt;'Inputs'!D32,'Inputs'!D33&gt;'Benefits'!F14),"Invalid overlap",'Inputs'!D33*C12/12),"Not calculated")</x:f>
        <x:v>0</x:v>
      </x:c>
    </x:row>
    <x:row r="13" ht="32" customHeight="1">
      <x:c r="A13" s="157" t="n">
        <x:v>8</x:v>
      </x:c>
      <x:c r="B13" s="147" t="n">
        <x:f>IF('Inputs'!B7="","Set start date",IF(AND(ISNUMBER('Inputs'!B7),'Inputs'!B7&gt;0),EDATE('Inputs'!B7,A13-1),"Invalid date"))</x:f>
        <x:v>46569</x:v>
      </x:c>
      <x:c r="C13" s="230" t="n">
        <x:f>IF(ISNUMBER('Inputs'!B44),IF(OR('Inputs'!B44&lt;0,'Inputs'!B44&gt;1),"Invalid ramp",'Inputs'!B44),"Missing ramp")</x:f>
        <x:v>1</x:v>
      </x:c>
      <x:c r="D13" s="227" t="n">
        <x:f>IF(AND(ISNUMBER(C13),ISNUMBER('Benefits'!E14)),C13*'Benefits'!E14/12,"Not calculated")</x:f>
        <x:v>199.92</x:v>
      </x:c>
      <x:c r="E13" s="219" t="n">
        <x:f>IF(AND(ISNUMBER(C13),ISNUMBER('Benefits'!F14)),C13*'Benefits'!F14/12,"Not calculated")</x:f>
        <x:v>16993.2</x:v>
      </x:c>
      <x:c r="F13" s="219" t="n">
        <x:f>IF(AND(ISNUMBER(C13),ISNUMBER('Inputs'!D32)),IF('Inputs'!D32&lt;0,"Invalid savings",'Inputs'!D32*C13/12),"Not calculated")</x:f>
        <x:v>0</x:v>
      </x:c>
      <x:c r="G13" s="219" t="n">
        <x:f>IF(COUNT('Inputs'!B10:B11)=2,IF(MIN('Inputs'!B10:B11)&lt;0,"Invalid fee",IF(MOD(A13-1,12)=0,SUM('Inputs'!B10:B11),0)),"Missing fee")</x:f>
        <x:v>0</x:v>
      </x:c>
      <x:c r="H13" s="219" t="n">
        <x:f>IF(AND(COUNT('Inputs'!B13:B16)=4,'Inputs'!B13&gt;=0,'Inputs'!B14&gt;=0,'Inputs'!B14&lt;=1,'Inputs'!B15&gt;=1,'Inputs'!B16&lt;=12,'Inputs'!B15&lt;='Inputs'!B16,MOD('Inputs'!B15,1)=0,MOD('Inputs'!B16,1)=0),IF(A13='Inputs'!B15,'Inputs'!B13*'Inputs'!B14,0)+IF(A13='Inputs'!B16,'Inputs'!B13*(1-'Inputs'!B14),0),"Missing / invalid milestone")</x:f>
        <x:v>0</x:v>
      </x:c>
      <x:c r="I13" s="219" t="n">
        <x:f>IF(AND(ISNUMBER('Inputs'!B12),ISNUMBER('Inputs'!B17),ISNUMBER(H13)),IF(OR('Inputs'!B12&lt;0,'Inputs'!B17&lt;0),"Invalid cost",'Inputs'!B12/12+IF(A13='Inputs'!B15,'Inputs'!B17,0)),"Missing cost")</x:f>
        <x:v>0</x:v>
      </x:c>
      <x:c r="J13" s="221" t="n">
        <x:f>IF(COUNT(G13:I13)=3,SUM(G13:I13),"Not calculated")</x:f>
        <x:v>0</x:v>
      </x:c>
      <x:c r="K13" s="219" t="n">
        <x:f>IF(AND(COUNT('Inputs'!B18:B20)=3,ISNUMBER('Inputs'!B21),ISNUMBER(H13)),IF(OR(MIN('Inputs'!B18:B20)&lt;0,'Inputs'!B21&lt;0),"Invalid hours",('Inputs'!B21+IF(A13='Inputs'!B15,'Inputs'!B18,0)+IF(A13='Inputs'!B16,'Inputs'!B19,0))*'Inputs'!B20),"Missing hours")</x:f>
        <x:v>680</x:v>
      </x:c>
      <x:c r="L13" s="219" t="n">
        <x:f>IF(COUNT(J13:K13)=2,SUM(J13:K13),"Not calculated")</x:f>
        <x:v>680</x:v>
      </x:c>
      <x:c r="M13" s="219" t="n">
        <x:f>IF(AND(ISNUMBER(F13),ISNUMBER(J13)),F13-J13,"Not calculated")</x:f>
        <x:v>0</x:v>
      </x:c>
      <x:c r="N13" s="221" t="n">
        <x:f>IF(COUNT(M$6:M13)=A13,SUM(M$6:M13),"Not calculated")</x:f>
        <x:v>-79200</x:v>
      </x:c>
      <x:c r="O13" s="219" t="n">
        <x:f>IF(AND(COUNT(E13:F13)=2,ISNUMBER(L13),ISNUMBER(T13)),SUM(E13:F13)-T13-L13,"Not calculated")</x:f>
        <x:v>16313.2</x:v>
      </x:c>
      <x:c r="P13" s="221" t="n">
        <x:f>IF(COUNT(O$6:O13)=A13,SUM(O$6:O13),"Not calculated")</x:f>
        <x:v>-31630.600000000002</x:v>
      </x:c>
      <x:c r="Q13" s="221" t="n">
        <x:f>IF(AND(ISNUMBER(O13),ISNUMBER('Inputs'!B22)),IF(OR('Inputs'!B22&lt;0,'Inputs'!B22&gt;1),"Invalid rate",O13/(1+'Inputs'!B22)^(A13/12)),"Not calculated")</x:f>
        <x:v>15308.901799511645</x:v>
      </x:c>
      <x:c r="R13" s="96" t="n">
        <x:f>IF(COUNT(N13:N$41)=37-A13,IF(MIN(N13:N$41)&gt;=0,1,0),"Not calculated")</x:f>
        <x:v>0</x:v>
      </x:c>
      <x:c r="S13" s="96" t="n">
        <x:f>IF(COUNT(P13:P$41)=37-A13,IF(MIN(P13:P$41)&gt;=0,1,0),"Not calculated")</x:f>
        <x:v>0</x:v>
      </x:c>
      <x:c r="T13" s="224" t="n">
        <x:f>IF(AND(ISNUMBER(C13),COUNT('Inputs'!D32:D33)=2,ISNUMBER('Benefits'!F14)),IF(OR('Inputs'!D33&lt;0,'Inputs'!D33&gt;'Inputs'!D32,'Inputs'!D33&gt;'Benefits'!F14),"Invalid overlap",'Inputs'!D33*C13/12),"Not calculated")</x:f>
        <x:v>0</x:v>
      </x:c>
    </x:row>
    <x:row r="14" ht="32" customHeight="1">
      <x:c r="A14" s="156" t="n">
        <x:v>9</x:v>
      </x:c>
      <x:c r="B14" s="140" t="n">
        <x:f>IF('Inputs'!B7="","Set start date",IF(AND(ISNUMBER('Inputs'!B7),'Inputs'!B7&gt;0),EDATE('Inputs'!B7,A14-1),"Invalid date"))</x:f>
        <x:v>46600</x:v>
      </x:c>
      <x:c r="C14" s="229" t="n">
        <x:f>IF(ISNUMBER('Inputs'!B45),IF(OR('Inputs'!B45&lt;0,'Inputs'!B45&gt;1),"Invalid ramp",'Inputs'!B45),"Missing ramp")</x:f>
        <x:v>1</x:v>
      </x:c>
      <x:c r="D14" s="226" t="n">
        <x:f>IF(AND(ISNUMBER(C14),ISNUMBER('Benefits'!E14)),C14*'Benefits'!E14/12,"Not calculated")</x:f>
        <x:v>199.92</x:v>
      </x:c>
      <x:c r="E14" s="218" t="n">
        <x:f>IF(AND(ISNUMBER(C14),ISNUMBER('Benefits'!F14)),C14*'Benefits'!F14/12,"Not calculated")</x:f>
        <x:v>16993.2</x:v>
      </x:c>
      <x:c r="F14" s="218" t="n">
        <x:f>IF(AND(ISNUMBER(C14),ISNUMBER('Inputs'!D32)),IF('Inputs'!D32&lt;0,"Invalid savings",'Inputs'!D32*C14/12),"Not calculated")</x:f>
        <x:v>0</x:v>
      </x:c>
      <x:c r="G14" s="218" t="n">
        <x:f>IF(COUNT('Inputs'!B10:B11)=2,IF(MIN('Inputs'!B10:B11)&lt;0,"Invalid fee",IF(MOD(A14-1,12)=0,SUM('Inputs'!B10:B11),0)),"Missing fee")</x:f>
        <x:v>0</x:v>
      </x:c>
      <x:c r="H14" s="218" t="n">
        <x:f>IF(AND(COUNT('Inputs'!B13:B16)=4,'Inputs'!B13&gt;=0,'Inputs'!B14&gt;=0,'Inputs'!B14&lt;=1,'Inputs'!B15&gt;=1,'Inputs'!B16&lt;=12,'Inputs'!B15&lt;='Inputs'!B16,MOD('Inputs'!B15,1)=0,MOD('Inputs'!B16,1)=0),IF(A14='Inputs'!B15,'Inputs'!B13*'Inputs'!B14,0)+IF(A14='Inputs'!B16,'Inputs'!B13*(1-'Inputs'!B14),0),"Missing / invalid milestone")</x:f>
        <x:v>0</x:v>
      </x:c>
      <x:c r="I14" s="218" t="n">
        <x:f>IF(AND(ISNUMBER('Inputs'!B12),ISNUMBER('Inputs'!B17),ISNUMBER(H14)),IF(OR('Inputs'!B12&lt;0,'Inputs'!B17&lt;0),"Invalid cost",'Inputs'!B12/12+IF(A14='Inputs'!B15,'Inputs'!B17,0)),"Missing cost")</x:f>
        <x:v>0</x:v>
      </x:c>
      <x:c r="J14" s="221" t="n">
        <x:f>IF(COUNT(G14:I14)=3,SUM(G14:I14),"Not calculated")</x:f>
        <x:v>0</x:v>
      </x:c>
      <x:c r="K14" s="218" t="n">
        <x:f>IF(AND(COUNT('Inputs'!B18:B20)=3,ISNUMBER('Inputs'!B21),ISNUMBER(H14)),IF(OR(MIN('Inputs'!B18:B20)&lt;0,'Inputs'!B21&lt;0),"Invalid hours",('Inputs'!B21+IF(A14='Inputs'!B15,'Inputs'!B18,0)+IF(A14='Inputs'!B16,'Inputs'!B19,0))*'Inputs'!B20),"Missing hours")</x:f>
        <x:v>680</x:v>
      </x:c>
      <x:c r="L14" s="218" t="n">
        <x:f>IF(COUNT(J14:K14)=2,SUM(J14:K14),"Not calculated")</x:f>
        <x:v>680</x:v>
      </x:c>
      <x:c r="M14" s="218" t="n">
        <x:f>IF(AND(ISNUMBER(F14),ISNUMBER(J14)),F14-J14,"Not calculated")</x:f>
        <x:v>0</x:v>
      </x:c>
      <x:c r="N14" s="221" t="n">
        <x:f>IF(COUNT(M$6:M14)=A14,SUM(M$6:M14),"Not calculated")</x:f>
        <x:v>-79200</x:v>
      </x:c>
      <x:c r="O14" s="218" t="n">
        <x:f>IF(AND(COUNT(E14:F14)=2,ISNUMBER(L14),ISNUMBER(T14)),SUM(E14:F14)-T14-L14,"Not calculated")</x:f>
        <x:v>16313.2</x:v>
      </x:c>
      <x:c r="P14" s="221" t="n">
        <x:f>IF(COUNT(O$6:O14)=A14,SUM(O$6:O14),"Not calculated")</x:f>
        <x:v>-15317.400000000001</x:v>
      </x:c>
      <x:c r="Q14" s="221" t="n">
        <x:f>IF(AND(ISNUMBER(O14),ISNUMBER('Inputs'!B22)),IF(OR('Inputs'!B22&lt;0,'Inputs'!B22&gt;1),"Invalid rate",O14/(1+'Inputs'!B22)^(A14/12)),"Not calculated")</x:f>
        <x:v>15187.792211611246</x:v>
      </x:c>
      <x:c r="R14" s="72" t="n">
        <x:f>IF(COUNT(N14:N$41)=37-A14,IF(MIN(N14:N$41)&gt;=0,1,0),"Not calculated")</x:f>
        <x:v>0</x:v>
      </x:c>
      <x:c r="S14" s="72" t="n">
        <x:f>IF(COUNT(P14:P$41)=37-A14,IF(MIN(P14:P$41)&gt;=0,1,0),"Not calculated")</x:f>
        <x:v>0</x:v>
      </x:c>
      <x:c r="T14" s="223" t="n">
        <x:f>IF(AND(ISNUMBER(C14),COUNT('Inputs'!D32:D33)=2,ISNUMBER('Benefits'!F14)),IF(OR('Inputs'!D33&lt;0,'Inputs'!D33&gt;'Inputs'!D32,'Inputs'!D33&gt;'Benefits'!F14),"Invalid overlap",'Inputs'!D33*C14/12),"Not calculated")</x:f>
        <x:v>0</x:v>
      </x:c>
    </x:row>
    <x:row r="15" ht="32" customHeight="1">
      <x:c r="A15" s="157" t="n">
        <x:v>10</x:v>
      </x:c>
      <x:c r="B15" s="147" t="n">
        <x:f>IF('Inputs'!B7="","Set start date",IF(AND(ISNUMBER('Inputs'!B7),'Inputs'!B7&gt;0),EDATE('Inputs'!B7,A15-1),"Invalid date"))</x:f>
        <x:v>46631</x:v>
      </x:c>
      <x:c r="C15" s="230" t="n">
        <x:f>IF(ISNUMBER('Inputs'!B46),IF(OR('Inputs'!B46&lt;0,'Inputs'!B46&gt;1),"Invalid ramp",'Inputs'!B46),"Missing ramp")</x:f>
        <x:v>1</x:v>
      </x:c>
      <x:c r="D15" s="227" t="n">
        <x:f>IF(AND(ISNUMBER(C15),ISNUMBER('Benefits'!E14)),C15*'Benefits'!E14/12,"Not calculated")</x:f>
        <x:v>199.92</x:v>
      </x:c>
      <x:c r="E15" s="219" t="n">
        <x:f>IF(AND(ISNUMBER(C15),ISNUMBER('Benefits'!F14)),C15*'Benefits'!F14/12,"Not calculated")</x:f>
        <x:v>16993.2</x:v>
      </x:c>
      <x:c r="F15" s="219" t="n">
        <x:f>IF(AND(ISNUMBER(C15),ISNUMBER('Inputs'!D32)),IF('Inputs'!D32&lt;0,"Invalid savings",'Inputs'!D32*C15/12),"Not calculated")</x:f>
        <x:v>0</x:v>
      </x:c>
      <x:c r="G15" s="219" t="n">
        <x:f>IF(COUNT('Inputs'!B10:B11)=2,IF(MIN('Inputs'!B10:B11)&lt;0,"Invalid fee",IF(MOD(A15-1,12)=0,SUM('Inputs'!B10:B11),0)),"Missing fee")</x:f>
        <x:v>0</x:v>
      </x:c>
      <x:c r="H15" s="219" t="n">
        <x:f>IF(AND(COUNT('Inputs'!B13:B16)=4,'Inputs'!B13&gt;=0,'Inputs'!B14&gt;=0,'Inputs'!B14&lt;=1,'Inputs'!B15&gt;=1,'Inputs'!B16&lt;=12,'Inputs'!B15&lt;='Inputs'!B16,MOD('Inputs'!B15,1)=0,MOD('Inputs'!B16,1)=0),IF(A15='Inputs'!B15,'Inputs'!B13*'Inputs'!B14,0)+IF(A15='Inputs'!B16,'Inputs'!B13*(1-'Inputs'!B14),0),"Missing / invalid milestone")</x:f>
        <x:v>0</x:v>
      </x:c>
      <x:c r="I15" s="219" t="n">
        <x:f>IF(AND(ISNUMBER('Inputs'!B12),ISNUMBER('Inputs'!B17),ISNUMBER(H15)),IF(OR('Inputs'!B12&lt;0,'Inputs'!B17&lt;0),"Invalid cost",'Inputs'!B12/12+IF(A15='Inputs'!B15,'Inputs'!B17,0)),"Missing cost")</x:f>
        <x:v>0</x:v>
      </x:c>
      <x:c r="J15" s="221" t="n">
        <x:f>IF(COUNT(G15:I15)=3,SUM(G15:I15),"Not calculated")</x:f>
        <x:v>0</x:v>
      </x:c>
      <x:c r="K15" s="219" t="n">
        <x:f>IF(AND(COUNT('Inputs'!B18:B20)=3,ISNUMBER('Inputs'!B21),ISNUMBER(H15)),IF(OR(MIN('Inputs'!B18:B20)&lt;0,'Inputs'!B21&lt;0),"Invalid hours",('Inputs'!B21+IF(A15='Inputs'!B15,'Inputs'!B18,0)+IF(A15='Inputs'!B16,'Inputs'!B19,0))*'Inputs'!B20),"Missing hours")</x:f>
        <x:v>680</x:v>
      </x:c>
      <x:c r="L15" s="219" t="n">
        <x:f>IF(COUNT(J15:K15)=2,SUM(J15:K15),"Not calculated")</x:f>
        <x:v>680</x:v>
      </x:c>
      <x:c r="M15" s="219" t="n">
        <x:f>IF(AND(ISNUMBER(F15),ISNUMBER(J15)),F15-J15,"Not calculated")</x:f>
        <x:v>0</x:v>
      </x:c>
      <x:c r="N15" s="221" t="n">
        <x:f>IF(COUNT(M$6:M15)=A15,SUM(M$6:M15),"Not calculated")</x:f>
        <x:v>-79200</x:v>
      </x:c>
      <x:c r="O15" s="219" t="n">
        <x:f>IF(AND(COUNT(E15:F15)=2,ISNUMBER(L15),ISNUMBER(T15)),SUM(E15:F15)-T15-L15,"Not calculated")</x:f>
        <x:v>16313.2</x:v>
      </x:c>
      <x:c r="P15" s="221" t="n">
        <x:f>IF(COUNT(O$6:O15)=A15,SUM(O$6:O15),"Not calculated")</x:f>
        <x:v>995.7999999999993</x:v>
      </x:c>
      <x:c r="Q15" s="221" t="n">
        <x:f>IF(AND(ISNUMBER(O15),ISNUMBER('Inputs'!B22)),IF(OR('Inputs'!B22&lt;0,'Inputs'!B22&gt;1),"Invalid rate",O15/(1+'Inputs'!B22)^(A15/12)),"Not calculated")</x:f>
        <x:v>15067.64072850984</x:v>
      </x:c>
      <x:c r="R15" s="96" t="n">
        <x:f>IF(COUNT(N15:N$41)=37-A15,IF(MIN(N15:N$41)&gt;=0,1,0),"Not calculated")</x:f>
        <x:v>0</x:v>
      </x:c>
      <x:c r="S15" s="96" t="n">
        <x:f>IF(COUNT(P15:P$41)=37-A15,IF(MIN(P15:P$41)&gt;=0,1,0),"Not calculated")</x:f>
        <x:v>0</x:v>
      </x:c>
      <x:c r="T15" s="224" t="n">
        <x:f>IF(AND(ISNUMBER(C15),COUNT('Inputs'!D32:D33)=2,ISNUMBER('Benefits'!F14)),IF(OR('Inputs'!D33&lt;0,'Inputs'!D33&gt;'Inputs'!D32,'Inputs'!D33&gt;'Benefits'!F14),"Invalid overlap",'Inputs'!D33*C15/12),"Not calculated")</x:f>
        <x:v>0</x:v>
      </x:c>
    </x:row>
    <x:row r="16" ht="32" customHeight="1">
      <x:c r="A16" s="156" t="n">
        <x:v>11</x:v>
      </x:c>
      <x:c r="B16" s="140" t="n">
        <x:f>IF('Inputs'!B7="","Set start date",IF(AND(ISNUMBER('Inputs'!B7),'Inputs'!B7&gt;0),EDATE('Inputs'!B7,A16-1),"Invalid date"))</x:f>
        <x:v>46661</x:v>
      </x:c>
      <x:c r="C16" s="229" t="n">
        <x:f>IF(ISNUMBER('Inputs'!B47),IF(OR('Inputs'!B47&lt;0,'Inputs'!B47&gt;1),"Invalid ramp",'Inputs'!B47),"Missing ramp")</x:f>
        <x:v>1</x:v>
      </x:c>
      <x:c r="D16" s="226" t="n">
        <x:f>IF(AND(ISNUMBER(C16),ISNUMBER('Benefits'!E14)),C16*'Benefits'!E14/12,"Not calculated")</x:f>
        <x:v>199.92</x:v>
      </x:c>
      <x:c r="E16" s="218" t="n">
        <x:f>IF(AND(ISNUMBER(C16),ISNUMBER('Benefits'!F14)),C16*'Benefits'!F14/12,"Not calculated")</x:f>
        <x:v>16993.2</x:v>
      </x:c>
      <x:c r="F16" s="218" t="n">
        <x:f>IF(AND(ISNUMBER(C16),ISNUMBER('Inputs'!D32)),IF('Inputs'!D32&lt;0,"Invalid savings",'Inputs'!D32*C16/12),"Not calculated")</x:f>
        <x:v>0</x:v>
      </x:c>
      <x:c r="G16" s="218" t="n">
        <x:f>IF(COUNT('Inputs'!B10:B11)=2,IF(MIN('Inputs'!B10:B11)&lt;0,"Invalid fee",IF(MOD(A16-1,12)=0,SUM('Inputs'!B10:B11),0)),"Missing fee")</x:f>
        <x:v>0</x:v>
      </x:c>
      <x:c r="H16" s="218" t="n">
        <x:f>IF(AND(COUNT('Inputs'!B13:B16)=4,'Inputs'!B13&gt;=0,'Inputs'!B14&gt;=0,'Inputs'!B14&lt;=1,'Inputs'!B15&gt;=1,'Inputs'!B16&lt;=12,'Inputs'!B15&lt;='Inputs'!B16,MOD('Inputs'!B15,1)=0,MOD('Inputs'!B16,1)=0),IF(A16='Inputs'!B15,'Inputs'!B13*'Inputs'!B14,0)+IF(A16='Inputs'!B16,'Inputs'!B13*(1-'Inputs'!B14),0),"Missing / invalid milestone")</x:f>
        <x:v>0</x:v>
      </x:c>
      <x:c r="I16" s="218" t="n">
        <x:f>IF(AND(ISNUMBER('Inputs'!B12),ISNUMBER('Inputs'!B17),ISNUMBER(H16)),IF(OR('Inputs'!B12&lt;0,'Inputs'!B17&lt;0),"Invalid cost",'Inputs'!B12/12+IF(A16='Inputs'!B15,'Inputs'!B17,0)),"Missing cost")</x:f>
        <x:v>0</x:v>
      </x:c>
      <x:c r="J16" s="221" t="n">
        <x:f>IF(COUNT(G16:I16)=3,SUM(G16:I16),"Not calculated")</x:f>
        <x:v>0</x:v>
      </x:c>
      <x:c r="K16" s="218" t="n">
        <x:f>IF(AND(COUNT('Inputs'!B18:B20)=3,ISNUMBER('Inputs'!B21),ISNUMBER(H16)),IF(OR(MIN('Inputs'!B18:B20)&lt;0,'Inputs'!B21&lt;0),"Invalid hours",('Inputs'!B21+IF(A16='Inputs'!B15,'Inputs'!B18,0)+IF(A16='Inputs'!B16,'Inputs'!B19,0))*'Inputs'!B20),"Missing hours")</x:f>
        <x:v>680</x:v>
      </x:c>
      <x:c r="L16" s="218" t="n">
        <x:f>IF(COUNT(J16:K16)=2,SUM(J16:K16),"Not calculated")</x:f>
        <x:v>680</x:v>
      </x:c>
      <x:c r="M16" s="218" t="n">
        <x:f>IF(AND(ISNUMBER(F16),ISNUMBER(J16)),F16-J16,"Not calculated")</x:f>
        <x:v>0</x:v>
      </x:c>
      <x:c r="N16" s="221" t="n">
        <x:f>IF(COUNT(M$6:M16)=A16,SUM(M$6:M16),"Not calculated")</x:f>
        <x:v>-79200</x:v>
      </x:c>
      <x:c r="O16" s="218" t="n">
        <x:f>IF(AND(COUNT(E16:F16)=2,ISNUMBER(L16),ISNUMBER(T16)),SUM(E16:F16)-T16-L16,"Not calculated")</x:f>
        <x:v>16313.2</x:v>
      </x:c>
      <x:c r="P16" s="221" t="n">
        <x:f>IF(COUNT(O$6:O16)=A16,SUM(O$6:O16),"Not calculated")</x:f>
        <x:v>17309</x:v>
      </x:c>
      <x:c r="Q16" s="221" t="n">
        <x:f>IF(AND(ISNUMBER(O16),ISNUMBER('Inputs'!B22)),IF(OR('Inputs'!B22&lt;0,'Inputs'!B22&gt;1),"Invalid rate",O16/(1+'Inputs'!B22)^(A16/12)),"Not calculated")</x:f>
        <x:v>14948.439770586174</x:v>
      </x:c>
      <x:c r="R16" s="72" t="n">
        <x:f>IF(COUNT(N16:N$41)=37-A16,IF(MIN(N16:N$41)&gt;=0,1,0),"Not calculated")</x:f>
        <x:v>0</x:v>
      </x:c>
      <x:c r="S16" s="72" t="n">
        <x:f>IF(COUNT(P16:P$41)=37-A16,IF(MIN(P16:P$41)&gt;=0,1,0),"Not calculated")</x:f>
        <x:v>0</x:v>
      </x:c>
      <x:c r="T16" s="223" t="n">
        <x:f>IF(AND(ISNUMBER(C16),COUNT('Inputs'!D32:D33)=2,ISNUMBER('Benefits'!F14)),IF(OR('Inputs'!D33&lt;0,'Inputs'!D33&gt;'Inputs'!D32,'Inputs'!D33&gt;'Benefits'!F14),"Invalid overlap",'Inputs'!D33*C16/12),"Not calculated")</x:f>
        <x:v>0</x:v>
      </x:c>
    </x:row>
    <x:row r="17" ht="32" customHeight="1">
      <x:c r="A17" s="157" t="n">
        <x:v>12</x:v>
      </x:c>
      <x:c r="B17" s="147" t="n">
        <x:f>IF('Inputs'!B7="","Set start date",IF(AND(ISNUMBER('Inputs'!B7),'Inputs'!B7&gt;0),EDATE('Inputs'!B7,A17-1),"Invalid date"))</x:f>
        <x:v>46692</x:v>
      </x:c>
      <x:c r="C17" s="230" t="n">
        <x:f>IF(ISNUMBER('Inputs'!B48),IF(OR('Inputs'!B48&lt;0,'Inputs'!B48&gt;1),"Invalid ramp",'Inputs'!B48),"Missing ramp")</x:f>
        <x:v>1</x:v>
      </x:c>
      <x:c r="D17" s="227" t="n">
        <x:f>IF(AND(ISNUMBER(C17),ISNUMBER('Benefits'!E14)),C17*'Benefits'!E14/12,"Not calculated")</x:f>
        <x:v>199.92</x:v>
      </x:c>
      <x:c r="E17" s="219" t="n">
        <x:f>IF(AND(ISNUMBER(C17),ISNUMBER('Benefits'!F14)),C17*'Benefits'!F14/12,"Not calculated")</x:f>
        <x:v>16993.2</x:v>
      </x:c>
      <x:c r="F17" s="219" t="n">
        <x:f>IF(AND(ISNUMBER(C17),ISNUMBER('Inputs'!D32)),IF('Inputs'!D32&lt;0,"Invalid savings",'Inputs'!D32*C17/12),"Not calculated")</x:f>
        <x:v>0</x:v>
      </x:c>
      <x:c r="G17" s="219" t="n">
        <x:f>IF(COUNT('Inputs'!B10:B11)=2,IF(MIN('Inputs'!B10:B11)&lt;0,"Invalid fee",IF(MOD(A17-1,12)=0,SUM('Inputs'!B10:B11),0)),"Missing fee")</x:f>
        <x:v>0</x:v>
      </x:c>
      <x:c r="H17" s="219" t="n">
        <x:f>IF(AND(COUNT('Inputs'!B13:B16)=4,'Inputs'!B13&gt;=0,'Inputs'!B14&gt;=0,'Inputs'!B14&lt;=1,'Inputs'!B15&gt;=1,'Inputs'!B16&lt;=12,'Inputs'!B15&lt;='Inputs'!B16,MOD('Inputs'!B15,1)=0,MOD('Inputs'!B16,1)=0),IF(A17='Inputs'!B15,'Inputs'!B13*'Inputs'!B14,0)+IF(A17='Inputs'!B16,'Inputs'!B13*(1-'Inputs'!B14),0),"Missing / invalid milestone")</x:f>
        <x:v>0</x:v>
      </x:c>
      <x:c r="I17" s="219" t="n">
        <x:f>IF(AND(ISNUMBER('Inputs'!B12),ISNUMBER('Inputs'!B17),ISNUMBER(H17)),IF(OR('Inputs'!B12&lt;0,'Inputs'!B17&lt;0),"Invalid cost",'Inputs'!B12/12+IF(A17='Inputs'!B15,'Inputs'!B17,0)),"Missing cost")</x:f>
        <x:v>0</x:v>
      </x:c>
      <x:c r="J17" s="221" t="n">
        <x:f>IF(COUNT(G17:I17)=3,SUM(G17:I17),"Not calculated")</x:f>
        <x:v>0</x:v>
      </x:c>
      <x:c r="K17" s="219" t="n">
        <x:f>IF(AND(COUNT('Inputs'!B18:B20)=3,ISNUMBER('Inputs'!B21),ISNUMBER(H17)),IF(OR(MIN('Inputs'!B18:B20)&lt;0,'Inputs'!B21&lt;0),"Invalid hours",('Inputs'!B21+IF(A17='Inputs'!B15,'Inputs'!B18,0)+IF(A17='Inputs'!B16,'Inputs'!B19,0))*'Inputs'!B20),"Missing hours")</x:f>
        <x:v>680</x:v>
      </x:c>
      <x:c r="L17" s="219" t="n">
        <x:f>IF(COUNT(J17:K17)=2,SUM(J17:K17),"Not calculated")</x:f>
        <x:v>680</x:v>
      </x:c>
      <x:c r="M17" s="219" t="n">
        <x:f>IF(AND(ISNUMBER(F17),ISNUMBER(J17)),F17-J17,"Not calculated")</x:f>
        <x:v>0</x:v>
      </x:c>
      <x:c r="N17" s="221" t="n">
        <x:f>IF(COUNT(M$6:M17)=A17,SUM(M$6:M17),"Not calculated")</x:f>
        <x:v>-79200</x:v>
      </x:c>
      <x:c r="O17" s="219" t="n">
        <x:f>IF(AND(COUNT(E17:F17)=2,ISNUMBER(L17),ISNUMBER(T17)),SUM(E17:F17)-T17-L17,"Not calculated")</x:f>
        <x:v>16313.2</x:v>
      </x:c>
      <x:c r="P17" s="221" t="n">
        <x:f>IF(COUNT(O$6:O17)=A17,SUM(O$6:O17),"Not calculated")</x:f>
        <x:v>33622.2</x:v>
      </x:c>
      <x:c r="Q17" s="221" t="n">
        <x:f>IF(AND(ISNUMBER(O17),ISNUMBER('Inputs'!B22)),IF(OR('Inputs'!B22&lt;0,'Inputs'!B22&gt;1),"Invalid rate",O17/(1+'Inputs'!B22)^(A17/12)),"Not calculated")</x:f>
        <x:v>14830.181818181818</x:v>
      </x:c>
      <x:c r="R17" s="96" t="n">
        <x:f>IF(COUNT(N17:N$41)=37-A17,IF(MIN(N17:N$41)&gt;=0,1,0),"Not calculated")</x:f>
        <x:v>0</x:v>
      </x:c>
      <x:c r="S17" s="96" t="n">
        <x:f>IF(COUNT(P17:P$41)=37-A17,IF(MIN(P17:P$41)&gt;=0,1,0),"Not calculated")</x:f>
        <x:v>0</x:v>
      </x:c>
      <x:c r="T17" s="224" t="n">
        <x:f>IF(AND(ISNUMBER(C17),COUNT('Inputs'!D32:D33)=2,ISNUMBER('Benefits'!F14)),IF(OR('Inputs'!D33&lt;0,'Inputs'!D33&gt;'Inputs'!D32,'Inputs'!D33&gt;'Benefits'!F14),"Invalid overlap",'Inputs'!D33*C17/12),"Not calculated")</x:f>
        <x:v>0</x:v>
      </x:c>
    </x:row>
    <x:row r="18" ht="32" customHeight="1">
      <x:c r="A18" s="156" t="n">
        <x:v>13</x:v>
      </x:c>
      <x:c r="B18" s="140" t="n">
        <x:f>IF('Inputs'!B7="","Set start date",IF(AND(ISNUMBER('Inputs'!B7),'Inputs'!B7&gt;0),EDATE('Inputs'!B7,A18-1),"Invalid date"))</x:f>
        <x:v>46722</x:v>
      </x:c>
      <x:c r="C18" s="229" t="n">
        <x:f>IF(ISNUMBER('Inputs'!C23),IF(OR('Inputs'!C23&lt;0,'Inputs'!C23&gt;1),"Invalid ramp",'Inputs'!C23),"Missing ramp")</x:f>
        <x:v>1</x:v>
      </x:c>
      <x:c r="D18" s="226" t="n">
        <x:f>IF(AND(ISNUMBER(C18),ISNUMBER('Benefits'!E14)),C18*'Benefits'!E14/12,"Not calculated")</x:f>
        <x:v>199.92</x:v>
      </x:c>
      <x:c r="E18" s="218" t="n">
        <x:f>IF(AND(ISNUMBER(C18),ISNUMBER('Benefits'!F14)),C18*'Benefits'!F14/12,"Not calculated")</x:f>
        <x:v>16993.2</x:v>
      </x:c>
      <x:c r="F18" s="218" t="n">
        <x:f>IF(AND(ISNUMBER(C18),ISNUMBER('Inputs'!D32)),IF('Inputs'!D32&lt;0,"Invalid savings",'Inputs'!D32*C18/12),"Not calculated")</x:f>
        <x:v>0</x:v>
      </x:c>
      <x:c r="G18" s="218" t="n">
        <x:f>IF(COUNT('Inputs'!C10:C11)=2,IF(MIN('Inputs'!C10:C11)&lt;0,"Invalid fee",IF(MOD(A18-1,12)=0,SUM('Inputs'!C10:C11),0)),"Missing fee")</x:f>
        <x:v>69600</x:v>
      </x:c>
      <x:c r="H18" s="218" t="n">
        <x:f>IF(AND(COUNT('Inputs'!B13:B16)=4,'Inputs'!B13&gt;=0,'Inputs'!B14&gt;=0,'Inputs'!B14&lt;=1,'Inputs'!B15&gt;=1,'Inputs'!B16&lt;=12,'Inputs'!B15&lt;='Inputs'!B16,MOD('Inputs'!B15,1)=0,MOD('Inputs'!B16,1)=0),IF(A18='Inputs'!B15,'Inputs'!B13*'Inputs'!B14,0)+IF(A18='Inputs'!B16,'Inputs'!B13*(1-'Inputs'!B14),0),"Missing / invalid milestone")</x:f>
        <x:v>0</x:v>
      </x:c>
      <x:c r="I18" s="218" t="n">
        <x:f>IF(AND(ISNUMBER('Inputs'!C12),ISNUMBER('Inputs'!B17),ISNUMBER(H18)),IF(OR('Inputs'!C12&lt;0,'Inputs'!B17&lt;0),"Invalid cost",'Inputs'!C12/12+IF(A18='Inputs'!B15,'Inputs'!B17,0)),"Missing cost")</x:f>
        <x:v>0</x:v>
      </x:c>
      <x:c r="J18" s="221" t="n">
        <x:f>IF(COUNT(G18:I18)=3,SUM(G18:I18),"Not calculated")</x:f>
        <x:v>69600</x:v>
      </x:c>
      <x:c r="K18" s="218" t="n">
        <x:f>IF(AND(COUNT('Inputs'!B18:B20)=3,ISNUMBER('Inputs'!C21),ISNUMBER(H18)),IF(OR(MIN('Inputs'!B18:B20)&lt;0,'Inputs'!C21&lt;0),"Invalid hours",('Inputs'!C21+IF(A18='Inputs'!B15,'Inputs'!B18,0)+IF(A18='Inputs'!B16,'Inputs'!B19,0))*'Inputs'!B20),"Missing hours")</x:f>
        <x:v>680</x:v>
      </x:c>
      <x:c r="L18" s="218" t="n">
        <x:f>IF(COUNT(J18:K18)=2,SUM(J18:K18),"Not calculated")</x:f>
        <x:v>70280</x:v>
      </x:c>
      <x:c r="M18" s="218" t="n">
        <x:f>IF(AND(ISNUMBER(F18),ISNUMBER(J18)),F18-J18,"Not calculated")</x:f>
        <x:v>-69600</x:v>
      </x:c>
      <x:c r="N18" s="221" t="n">
        <x:f>IF(COUNT(M$6:M18)=A18,SUM(M$6:M18),"Not calculated")</x:f>
        <x:v>-148800</x:v>
      </x:c>
      <x:c r="O18" s="218" t="n">
        <x:f>IF(AND(COUNT(E18:F18)=2,ISNUMBER(L18),ISNUMBER(T18)),SUM(E18:F18)-T18-L18,"Not calculated")</x:f>
        <x:v>-53286.8</x:v>
      </x:c>
      <x:c r="P18" s="221" t="n">
        <x:f>IF(COUNT(O$6:O18)=A18,SUM(O$6:O18),"Not calculated")</x:f>
        <x:v>-19664.600000000006</x:v>
      </x:c>
      <x:c r="Q18" s="221" t="n">
        <x:f>IF(AND(ISNUMBER(O18),ISNUMBER('Inputs'!B22)),IF(OR('Inputs'!B22&lt;0,'Inputs'!B22&gt;1),"Invalid rate",O18/(1+'Inputs'!B22)^(A18/12)),"Not calculated")</x:f>
        <x:v>-48059.31373788283</x:v>
      </x:c>
      <x:c r="R18" s="72" t="n">
        <x:f>IF(COUNT(N18:N$41)=37-A18,IF(MIN(N18:N$41)&gt;=0,1,0),"Not calculated")</x:f>
        <x:v>0</x:v>
      </x:c>
      <x:c r="S18" s="72" t="n">
        <x:f>IF(COUNT(P18:P$41)=37-A18,IF(MIN(P18:P$41)&gt;=0,1,0),"Not calculated")</x:f>
        <x:v>0</x:v>
      </x:c>
      <x:c r="T18" s="223" t="n">
        <x:f>IF(AND(ISNUMBER(C18),COUNT('Inputs'!D32:D33)=2,ISNUMBER('Benefits'!F14)),IF(OR('Inputs'!D33&lt;0,'Inputs'!D33&gt;'Inputs'!D32,'Inputs'!D33&gt;'Benefits'!F14),"Invalid overlap",'Inputs'!D33*C18/12),"Not calculated")</x:f>
        <x:v>0</x:v>
      </x:c>
    </x:row>
    <x:row r="19" ht="32" customHeight="1">
      <x:c r="A19" s="157" t="n">
        <x:v>14</x:v>
      </x:c>
      <x:c r="B19" s="147" t="n">
        <x:f>IF('Inputs'!B7="","Set start date",IF(AND(ISNUMBER('Inputs'!B7),'Inputs'!B7&gt;0),EDATE('Inputs'!B7,A19-1),"Invalid date"))</x:f>
        <x:v>46753</x:v>
      </x:c>
      <x:c r="C19" s="230" t="n">
        <x:f>IF(ISNUMBER('Inputs'!C23),IF(OR('Inputs'!C23&lt;0,'Inputs'!C23&gt;1),"Invalid ramp",'Inputs'!C23),"Missing ramp")</x:f>
        <x:v>1</x:v>
      </x:c>
      <x:c r="D19" s="227" t="n">
        <x:f>IF(AND(ISNUMBER(C19),ISNUMBER('Benefits'!E14)),C19*'Benefits'!E14/12,"Not calculated")</x:f>
        <x:v>199.92</x:v>
      </x:c>
      <x:c r="E19" s="219" t="n">
        <x:f>IF(AND(ISNUMBER(C19),ISNUMBER('Benefits'!F14)),C19*'Benefits'!F14/12,"Not calculated")</x:f>
        <x:v>16993.2</x:v>
      </x:c>
      <x:c r="F19" s="219" t="n">
        <x:f>IF(AND(ISNUMBER(C19),ISNUMBER('Inputs'!D32)),IF('Inputs'!D32&lt;0,"Invalid savings",'Inputs'!D32*C19/12),"Not calculated")</x:f>
        <x:v>0</x:v>
      </x:c>
      <x:c r="G19" s="219" t="n">
        <x:f>IF(COUNT('Inputs'!C10:C11)=2,IF(MIN('Inputs'!C10:C11)&lt;0,"Invalid fee",IF(MOD(A19-1,12)=0,SUM('Inputs'!C10:C11),0)),"Missing fee")</x:f>
        <x:v>0</x:v>
      </x:c>
      <x:c r="H19" s="219" t="n">
        <x:f>IF(AND(COUNT('Inputs'!B13:B16)=4,'Inputs'!B13&gt;=0,'Inputs'!B14&gt;=0,'Inputs'!B14&lt;=1,'Inputs'!B15&gt;=1,'Inputs'!B16&lt;=12,'Inputs'!B15&lt;='Inputs'!B16,MOD('Inputs'!B15,1)=0,MOD('Inputs'!B16,1)=0),IF(A19='Inputs'!B15,'Inputs'!B13*'Inputs'!B14,0)+IF(A19='Inputs'!B16,'Inputs'!B13*(1-'Inputs'!B14),0),"Missing / invalid milestone")</x:f>
        <x:v>0</x:v>
      </x:c>
      <x:c r="I19" s="219" t="n">
        <x:f>IF(AND(ISNUMBER('Inputs'!C12),ISNUMBER('Inputs'!B17),ISNUMBER(H19)),IF(OR('Inputs'!C12&lt;0,'Inputs'!B17&lt;0),"Invalid cost",'Inputs'!C12/12+IF(A19='Inputs'!B15,'Inputs'!B17,0)),"Missing cost")</x:f>
        <x:v>0</x:v>
      </x:c>
      <x:c r="J19" s="221" t="n">
        <x:f>IF(COUNT(G19:I19)=3,SUM(G19:I19),"Not calculated")</x:f>
        <x:v>0</x:v>
      </x:c>
      <x:c r="K19" s="219" t="n">
        <x:f>IF(AND(COUNT('Inputs'!B18:B20)=3,ISNUMBER('Inputs'!C21),ISNUMBER(H19)),IF(OR(MIN('Inputs'!B18:B20)&lt;0,'Inputs'!C21&lt;0),"Invalid hours",('Inputs'!C21+IF(A19='Inputs'!B15,'Inputs'!B18,0)+IF(A19='Inputs'!B16,'Inputs'!B19,0))*'Inputs'!B20),"Missing hours")</x:f>
        <x:v>680</x:v>
      </x:c>
      <x:c r="L19" s="219" t="n">
        <x:f>IF(COUNT(J19:K19)=2,SUM(J19:K19),"Not calculated")</x:f>
        <x:v>680</x:v>
      </x:c>
      <x:c r="M19" s="219" t="n">
        <x:f>IF(AND(ISNUMBER(F19),ISNUMBER(J19)),F19-J19,"Not calculated")</x:f>
        <x:v>0</x:v>
      </x:c>
      <x:c r="N19" s="221" t="n">
        <x:f>IF(COUNT(M$6:M19)=A19,SUM(M$6:M19),"Not calculated")</x:f>
        <x:v>-148800</x:v>
      </x:c>
      <x:c r="O19" s="219" t="n">
        <x:f>IF(AND(COUNT(E19:F19)=2,ISNUMBER(L19),ISNUMBER(T19)),SUM(E19:F19)-T19-L19,"Not calculated")</x:f>
        <x:v>16313.2</x:v>
      </x:c>
      <x:c r="P19" s="221" t="n">
        <x:f>IF(COUNT(O$6:O19)=A19,SUM(O$6:O19),"Not calculated")</x:f>
        <x:v>-3351.400000000005</x:v>
      </x:c>
      <x:c r="Q19" s="221" t="n">
        <x:f>IF(AND(ISNUMBER(O19),ISNUMBER('Inputs'!B22)),IF(OR('Inputs'!B22&lt;0,'Inputs'!B22&gt;1),"Invalid rate",O19/(1+'Inputs'!B22)^(A19/12)),"Not calculated")</x:f>
        <x:v>14596.46514826888</x:v>
      </x:c>
      <x:c r="R19" s="96" t="n">
        <x:f>IF(COUNT(N19:N$41)=37-A19,IF(MIN(N19:N$41)&gt;=0,1,0),"Not calculated")</x:f>
        <x:v>0</x:v>
      </x:c>
      <x:c r="S19" s="96" t="n">
        <x:f>IF(COUNT(P19:P$41)=37-A19,IF(MIN(P19:P$41)&gt;=0,1,0),"Not calculated")</x:f>
        <x:v>0</x:v>
      </x:c>
      <x:c r="T19" s="224" t="n">
        <x:f>IF(AND(ISNUMBER(C19),COUNT('Inputs'!D32:D33)=2,ISNUMBER('Benefits'!F14)),IF(OR('Inputs'!D33&lt;0,'Inputs'!D33&gt;'Inputs'!D32,'Inputs'!D33&gt;'Benefits'!F14),"Invalid overlap",'Inputs'!D33*C19/12),"Not calculated")</x:f>
        <x:v>0</x:v>
      </x:c>
    </x:row>
    <x:row r="20" ht="32" customHeight="1">
      <x:c r="A20" s="156" t="n">
        <x:v>15</x:v>
      </x:c>
      <x:c r="B20" s="140" t="n">
        <x:f>IF('Inputs'!B7="","Set start date",IF(AND(ISNUMBER('Inputs'!B7),'Inputs'!B7&gt;0),EDATE('Inputs'!B7,A20-1),"Invalid date"))</x:f>
        <x:v>46784</x:v>
      </x:c>
      <x:c r="C20" s="229" t="n">
        <x:f>IF(ISNUMBER('Inputs'!C23),IF(OR('Inputs'!C23&lt;0,'Inputs'!C23&gt;1),"Invalid ramp",'Inputs'!C23),"Missing ramp")</x:f>
        <x:v>1</x:v>
      </x:c>
      <x:c r="D20" s="226" t="n">
        <x:f>IF(AND(ISNUMBER(C20),ISNUMBER('Benefits'!E14)),C20*'Benefits'!E14/12,"Not calculated")</x:f>
        <x:v>199.92</x:v>
      </x:c>
      <x:c r="E20" s="218" t="n">
        <x:f>IF(AND(ISNUMBER(C20),ISNUMBER('Benefits'!F14)),C20*'Benefits'!F14/12,"Not calculated")</x:f>
        <x:v>16993.2</x:v>
      </x:c>
      <x:c r="F20" s="218" t="n">
        <x:f>IF(AND(ISNUMBER(C20),ISNUMBER('Inputs'!D32)),IF('Inputs'!D32&lt;0,"Invalid savings",'Inputs'!D32*C20/12),"Not calculated")</x:f>
        <x:v>0</x:v>
      </x:c>
      <x:c r="G20" s="218" t="n">
        <x:f>IF(COUNT('Inputs'!C10:C11)=2,IF(MIN('Inputs'!C10:C11)&lt;0,"Invalid fee",IF(MOD(A20-1,12)=0,SUM('Inputs'!C10:C11),0)),"Missing fee")</x:f>
        <x:v>0</x:v>
      </x:c>
      <x:c r="H20" s="218" t="n">
        <x:f>IF(AND(COUNT('Inputs'!B13:B16)=4,'Inputs'!B13&gt;=0,'Inputs'!B14&gt;=0,'Inputs'!B14&lt;=1,'Inputs'!B15&gt;=1,'Inputs'!B16&lt;=12,'Inputs'!B15&lt;='Inputs'!B16,MOD('Inputs'!B15,1)=0,MOD('Inputs'!B16,1)=0),IF(A20='Inputs'!B15,'Inputs'!B13*'Inputs'!B14,0)+IF(A20='Inputs'!B16,'Inputs'!B13*(1-'Inputs'!B14),0),"Missing / invalid milestone")</x:f>
        <x:v>0</x:v>
      </x:c>
      <x:c r="I20" s="218" t="n">
        <x:f>IF(AND(ISNUMBER('Inputs'!C12),ISNUMBER('Inputs'!B17),ISNUMBER(H20)),IF(OR('Inputs'!C12&lt;0,'Inputs'!B17&lt;0),"Invalid cost",'Inputs'!C12/12+IF(A20='Inputs'!B15,'Inputs'!B17,0)),"Missing cost")</x:f>
        <x:v>0</x:v>
      </x:c>
      <x:c r="J20" s="221" t="n">
        <x:f>IF(COUNT(G20:I20)=3,SUM(G20:I20),"Not calculated")</x:f>
        <x:v>0</x:v>
      </x:c>
      <x:c r="K20" s="218" t="n">
        <x:f>IF(AND(COUNT('Inputs'!B18:B20)=3,ISNUMBER('Inputs'!C21),ISNUMBER(H20)),IF(OR(MIN('Inputs'!B18:B20)&lt;0,'Inputs'!C21&lt;0),"Invalid hours",('Inputs'!C21+IF(A20='Inputs'!B15,'Inputs'!B18,0)+IF(A20='Inputs'!B16,'Inputs'!B19,0))*'Inputs'!B20),"Missing hours")</x:f>
        <x:v>680</x:v>
      </x:c>
      <x:c r="L20" s="218" t="n">
        <x:f>IF(COUNT(J20:K20)=2,SUM(J20:K20),"Not calculated")</x:f>
        <x:v>680</x:v>
      </x:c>
      <x:c r="M20" s="218" t="n">
        <x:f>IF(AND(ISNUMBER(F20),ISNUMBER(J20)),F20-J20,"Not calculated")</x:f>
        <x:v>0</x:v>
      </x:c>
      <x:c r="N20" s="221" t="n">
        <x:f>IF(COUNT(M$6:M20)=A20,SUM(M$6:M20),"Not calculated")</x:f>
        <x:v>-148800</x:v>
      </x:c>
      <x:c r="O20" s="218" t="n">
        <x:f>IF(AND(COUNT(E20:F20)=2,ISNUMBER(L20),ISNUMBER(T20)),SUM(E20:F20)-T20-L20,"Not calculated")</x:f>
        <x:v>16313.2</x:v>
      </x:c>
      <x:c r="P20" s="221" t="n">
        <x:f>IF(COUNT(O$6:O20)=A20,SUM(O$6:O20),"Not calculated")</x:f>
        <x:v>12961.799999999996</x:v>
      </x:c>
      <x:c r="Q20" s="221" t="n">
        <x:f>IF(AND(ISNUMBER(O20),ISNUMBER('Inputs'!B22)),IF(OR('Inputs'!B22&lt;0,'Inputs'!B22&gt;1),"Invalid rate",O20/(1+'Inputs'!B22)^(A20/12)),"Not calculated")</x:f>
        <x:v>14480.991687006897</x:v>
      </x:c>
      <x:c r="R20" s="72" t="n">
        <x:f>IF(COUNT(N20:N$41)=37-A20,IF(MIN(N20:N$41)&gt;=0,1,0),"Not calculated")</x:f>
        <x:v>0</x:v>
      </x:c>
      <x:c r="S20" s="72" t="n">
        <x:f>IF(COUNT(P20:P$41)=37-A20,IF(MIN(P20:P$41)&gt;=0,1,0),"Not calculated")</x:f>
        <x:v>1</x:v>
      </x:c>
      <x:c r="T20" s="223" t="n">
        <x:f>IF(AND(ISNUMBER(C20),COUNT('Inputs'!D32:D33)=2,ISNUMBER('Benefits'!F14)),IF(OR('Inputs'!D33&lt;0,'Inputs'!D33&gt;'Inputs'!D32,'Inputs'!D33&gt;'Benefits'!F14),"Invalid overlap",'Inputs'!D33*C20/12),"Not calculated")</x:f>
        <x:v>0</x:v>
      </x:c>
    </x:row>
    <x:row r="21" ht="32" customHeight="1">
      <x:c r="A21" s="157" t="n">
        <x:v>16</x:v>
      </x:c>
      <x:c r="B21" s="147" t="n">
        <x:f>IF('Inputs'!B7="","Set start date",IF(AND(ISNUMBER('Inputs'!B7),'Inputs'!B7&gt;0),EDATE('Inputs'!B7,A21-1),"Invalid date"))</x:f>
        <x:v>46813</x:v>
      </x:c>
      <x:c r="C21" s="230" t="n">
        <x:f>IF(ISNUMBER('Inputs'!C23),IF(OR('Inputs'!C23&lt;0,'Inputs'!C23&gt;1),"Invalid ramp",'Inputs'!C23),"Missing ramp")</x:f>
        <x:v>1</x:v>
      </x:c>
      <x:c r="D21" s="227" t="n">
        <x:f>IF(AND(ISNUMBER(C21),ISNUMBER('Benefits'!E14)),C21*'Benefits'!E14/12,"Not calculated")</x:f>
        <x:v>199.92</x:v>
      </x:c>
      <x:c r="E21" s="219" t="n">
        <x:f>IF(AND(ISNUMBER(C21),ISNUMBER('Benefits'!F14)),C21*'Benefits'!F14/12,"Not calculated")</x:f>
        <x:v>16993.2</x:v>
      </x:c>
      <x:c r="F21" s="219" t="n">
        <x:f>IF(AND(ISNUMBER(C21),ISNUMBER('Inputs'!D32)),IF('Inputs'!D32&lt;0,"Invalid savings",'Inputs'!D32*C21/12),"Not calculated")</x:f>
        <x:v>0</x:v>
      </x:c>
      <x:c r="G21" s="219" t="n">
        <x:f>IF(COUNT('Inputs'!C10:C11)=2,IF(MIN('Inputs'!C10:C11)&lt;0,"Invalid fee",IF(MOD(A21-1,12)=0,SUM('Inputs'!C10:C11),0)),"Missing fee")</x:f>
        <x:v>0</x:v>
      </x:c>
      <x:c r="H21" s="219" t="n">
        <x:f>IF(AND(COUNT('Inputs'!B13:B16)=4,'Inputs'!B13&gt;=0,'Inputs'!B14&gt;=0,'Inputs'!B14&lt;=1,'Inputs'!B15&gt;=1,'Inputs'!B16&lt;=12,'Inputs'!B15&lt;='Inputs'!B16,MOD('Inputs'!B15,1)=0,MOD('Inputs'!B16,1)=0),IF(A21='Inputs'!B15,'Inputs'!B13*'Inputs'!B14,0)+IF(A21='Inputs'!B16,'Inputs'!B13*(1-'Inputs'!B14),0),"Missing / invalid milestone")</x:f>
        <x:v>0</x:v>
      </x:c>
      <x:c r="I21" s="219" t="n">
        <x:f>IF(AND(ISNUMBER('Inputs'!C12),ISNUMBER('Inputs'!B17),ISNUMBER(H21)),IF(OR('Inputs'!C12&lt;0,'Inputs'!B17&lt;0),"Invalid cost",'Inputs'!C12/12+IF(A21='Inputs'!B15,'Inputs'!B17,0)),"Missing cost")</x:f>
        <x:v>0</x:v>
      </x:c>
      <x:c r="J21" s="221" t="n">
        <x:f>IF(COUNT(G21:I21)=3,SUM(G21:I21),"Not calculated")</x:f>
        <x:v>0</x:v>
      </x:c>
      <x:c r="K21" s="219" t="n">
        <x:f>IF(AND(COUNT('Inputs'!B18:B20)=3,ISNUMBER('Inputs'!C21),ISNUMBER(H21)),IF(OR(MIN('Inputs'!B18:B20)&lt;0,'Inputs'!C21&lt;0),"Invalid hours",('Inputs'!C21+IF(A21='Inputs'!B15,'Inputs'!B18,0)+IF(A21='Inputs'!B16,'Inputs'!B19,0))*'Inputs'!B20),"Missing hours")</x:f>
        <x:v>680</x:v>
      </x:c>
      <x:c r="L21" s="219" t="n">
        <x:f>IF(COUNT(J21:K21)=2,SUM(J21:K21),"Not calculated")</x:f>
        <x:v>680</x:v>
      </x:c>
      <x:c r="M21" s="219" t="n">
        <x:f>IF(AND(ISNUMBER(F21),ISNUMBER(J21)),F21-J21,"Not calculated")</x:f>
        <x:v>0</x:v>
      </x:c>
      <x:c r="N21" s="221" t="n">
        <x:f>IF(COUNT(M$6:M21)=A21,SUM(M$6:M21),"Not calculated")</x:f>
        <x:v>-148800</x:v>
      </x:c>
      <x:c r="O21" s="219" t="n">
        <x:f>IF(AND(COUNT(E21:F21)=2,ISNUMBER(L21),ISNUMBER(T21)),SUM(E21:F21)-T21-L21,"Not calculated")</x:f>
        <x:v>16313.2</x:v>
      </x:c>
      <x:c r="P21" s="221" t="n">
        <x:f>IF(COUNT(O$6:O21)=A21,SUM(O$6:O21),"Not calculated")</x:f>
        <x:v>29274.999999999996</x:v>
      </x:c>
      <x:c r="Q21" s="221" t="n">
        <x:f>IF(AND(ISNUMBER(O21),ISNUMBER('Inputs'!B22)),IF(OR('Inputs'!B22&lt;0,'Inputs'!B22&gt;1),"Invalid rate",O21/(1+'Inputs'!B22)^(A21/12)),"Not calculated")</x:f>
        <x:v>14366.431742827333</x:v>
      </x:c>
      <x:c r="R21" s="96" t="n">
        <x:f>IF(COUNT(N21:N$41)=37-A21,IF(MIN(N21:N$41)&gt;=0,1,0),"Not calculated")</x:f>
        <x:v>0</x:v>
      </x:c>
      <x:c r="S21" s="96" t="n">
        <x:f>IF(COUNT(P21:P$41)=37-A21,IF(MIN(P21:P$41)&gt;=0,1,0),"Not calculated")</x:f>
        <x:v>1</x:v>
      </x:c>
      <x:c r="T21" s="224" t="n">
        <x:f>IF(AND(ISNUMBER(C21),COUNT('Inputs'!D32:D33)=2,ISNUMBER('Benefits'!F14)),IF(OR('Inputs'!D33&lt;0,'Inputs'!D33&gt;'Inputs'!D32,'Inputs'!D33&gt;'Benefits'!F14),"Invalid overlap",'Inputs'!D33*C21/12),"Not calculated")</x:f>
        <x:v>0</x:v>
      </x:c>
    </x:row>
    <x:row r="22" ht="32" customHeight="1">
      <x:c r="A22" s="156" t="n">
        <x:v>17</x:v>
      </x:c>
      <x:c r="B22" s="140" t="n">
        <x:f>IF('Inputs'!B7="","Set start date",IF(AND(ISNUMBER('Inputs'!B7),'Inputs'!B7&gt;0),EDATE('Inputs'!B7,A22-1),"Invalid date"))</x:f>
        <x:v>46844</x:v>
      </x:c>
      <x:c r="C22" s="229" t="n">
        <x:f>IF(ISNUMBER('Inputs'!C23),IF(OR('Inputs'!C23&lt;0,'Inputs'!C23&gt;1),"Invalid ramp",'Inputs'!C23),"Missing ramp")</x:f>
        <x:v>1</x:v>
      </x:c>
      <x:c r="D22" s="226" t="n">
        <x:f>IF(AND(ISNUMBER(C22),ISNUMBER('Benefits'!E14)),C22*'Benefits'!E14/12,"Not calculated")</x:f>
        <x:v>199.92</x:v>
      </x:c>
      <x:c r="E22" s="218" t="n">
        <x:f>IF(AND(ISNUMBER(C22),ISNUMBER('Benefits'!F14)),C22*'Benefits'!F14/12,"Not calculated")</x:f>
        <x:v>16993.2</x:v>
      </x:c>
      <x:c r="F22" s="218" t="n">
        <x:f>IF(AND(ISNUMBER(C22),ISNUMBER('Inputs'!D32)),IF('Inputs'!D32&lt;0,"Invalid savings",'Inputs'!D32*C22/12),"Not calculated")</x:f>
        <x:v>0</x:v>
      </x:c>
      <x:c r="G22" s="218" t="n">
        <x:f>IF(COUNT('Inputs'!C10:C11)=2,IF(MIN('Inputs'!C10:C11)&lt;0,"Invalid fee",IF(MOD(A22-1,12)=0,SUM('Inputs'!C10:C11),0)),"Missing fee")</x:f>
        <x:v>0</x:v>
      </x:c>
      <x:c r="H22" s="218" t="n">
        <x:f>IF(AND(COUNT('Inputs'!B13:B16)=4,'Inputs'!B13&gt;=0,'Inputs'!B14&gt;=0,'Inputs'!B14&lt;=1,'Inputs'!B15&gt;=1,'Inputs'!B16&lt;=12,'Inputs'!B15&lt;='Inputs'!B16,MOD('Inputs'!B15,1)=0,MOD('Inputs'!B16,1)=0),IF(A22='Inputs'!B15,'Inputs'!B13*'Inputs'!B14,0)+IF(A22='Inputs'!B16,'Inputs'!B13*(1-'Inputs'!B14),0),"Missing / invalid milestone")</x:f>
        <x:v>0</x:v>
      </x:c>
      <x:c r="I22" s="218" t="n">
        <x:f>IF(AND(ISNUMBER('Inputs'!C12),ISNUMBER('Inputs'!B17),ISNUMBER(H22)),IF(OR('Inputs'!C12&lt;0,'Inputs'!B17&lt;0),"Invalid cost",'Inputs'!C12/12+IF(A22='Inputs'!B15,'Inputs'!B17,0)),"Missing cost")</x:f>
        <x:v>0</x:v>
      </x:c>
      <x:c r="J22" s="221" t="n">
        <x:f>IF(COUNT(G22:I22)=3,SUM(G22:I22),"Not calculated")</x:f>
        <x:v>0</x:v>
      </x:c>
      <x:c r="K22" s="218" t="n">
        <x:f>IF(AND(COUNT('Inputs'!B18:B20)=3,ISNUMBER('Inputs'!C21),ISNUMBER(H22)),IF(OR(MIN('Inputs'!B18:B20)&lt;0,'Inputs'!C21&lt;0),"Invalid hours",('Inputs'!C21+IF(A22='Inputs'!B15,'Inputs'!B18,0)+IF(A22='Inputs'!B16,'Inputs'!B19,0))*'Inputs'!B20),"Missing hours")</x:f>
        <x:v>680</x:v>
      </x:c>
      <x:c r="L22" s="218" t="n">
        <x:f>IF(COUNT(J22:K22)=2,SUM(J22:K22),"Not calculated")</x:f>
        <x:v>680</x:v>
      </x:c>
      <x:c r="M22" s="218" t="n">
        <x:f>IF(AND(ISNUMBER(F22),ISNUMBER(J22)),F22-J22,"Not calculated")</x:f>
        <x:v>0</x:v>
      </x:c>
      <x:c r="N22" s="221" t="n">
        <x:f>IF(COUNT(M$6:M22)=A22,SUM(M$6:M22),"Not calculated")</x:f>
        <x:v>-148800</x:v>
      </x:c>
      <x:c r="O22" s="218" t="n">
        <x:f>IF(AND(COUNT(E22:F22)=2,ISNUMBER(L22),ISNUMBER(T22)),SUM(E22:F22)-T22-L22,"Not calculated")</x:f>
        <x:v>16313.2</x:v>
      </x:c>
      <x:c r="P22" s="221" t="n">
        <x:f>IF(COUNT(O$6:O22)=A22,SUM(O$6:O22),"Not calculated")</x:f>
        <x:v>45588.2</x:v>
      </x:c>
      <x:c r="Q22" s="221" t="n">
        <x:f>IF(AND(ISNUMBER(O22),ISNUMBER('Inputs'!B22)),IF(OR('Inputs'!B22&lt;0,'Inputs'!B22&gt;1),"Invalid rate",O22/(1+'Inputs'!B22)^(A22/12)),"Not calculated")</x:f>
        <x:v>14252.778088844881</x:v>
      </x:c>
      <x:c r="R22" s="72" t="n">
        <x:f>IF(COUNT(N22:N$41)=37-A22,IF(MIN(N22:N$41)&gt;=0,1,0),"Not calculated")</x:f>
        <x:v>0</x:v>
      </x:c>
      <x:c r="S22" s="72" t="n">
        <x:f>IF(COUNT(P22:P$41)=37-A22,IF(MIN(P22:P$41)&gt;=0,1,0),"Not calculated")</x:f>
        <x:v>1</x:v>
      </x:c>
      <x:c r="T22" s="223" t="n">
        <x:f>IF(AND(ISNUMBER(C22),COUNT('Inputs'!D32:D33)=2,ISNUMBER('Benefits'!F14)),IF(OR('Inputs'!D33&lt;0,'Inputs'!D33&gt;'Inputs'!D32,'Inputs'!D33&gt;'Benefits'!F14),"Invalid overlap",'Inputs'!D33*C22/12),"Not calculated")</x:f>
        <x:v>0</x:v>
      </x:c>
    </x:row>
    <x:row r="23" ht="32" customHeight="1">
      <x:c r="A23" s="157" t="n">
        <x:v>18</x:v>
      </x:c>
      <x:c r="B23" s="147" t="n">
        <x:f>IF('Inputs'!B7="","Set start date",IF(AND(ISNUMBER('Inputs'!B7),'Inputs'!B7&gt;0),EDATE('Inputs'!B7,A23-1),"Invalid date"))</x:f>
        <x:v>46874</x:v>
      </x:c>
      <x:c r="C23" s="230" t="n">
        <x:f>IF(ISNUMBER('Inputs'!C23),IF(OR('Inputs'!C23&lt;0,'Inputs'!C23&gt;1),"Invalid ramp",'Inputs'!C23),"Missing ramp")</x:f>
        <x:v>1</x:v>
      </x:c>
      <x:c r="D23" s="227" t="n">
        <x:f>IF(AND(ISNUMBER(C23),ISNUMBER('Benefits'!E14)),C23*'Benefits'!E14/12,"Not calculated")</x:f>
        <x:v>199.92</x:v>
      </x:c>
      <x:c r="E23" s="219" t="n">
        <x:f>IF(AND(ISNUMBER(C23),ISNUMBER('Benefits'!F14)),C23*'Benefits'!F14/12,"Not calculated")</x:f>
        <x:v>16993.2</x:v>
      </x:c>
      <x:c r="F23" s="219" t="n">
        <x:f>IF(AND(ISNUMBER(C23),ISNUMBER('Inputs'!D32)),IF('Inputs'!D32&lt;0,"Invalid savings",'Inputs'!D32*C23/12),"Not calculated")</x:f>
        <x:v>0</x:v>
      </x:c>
      <x:c r="G23" s="219" t="n">
        <x:f>IF(COUNT('Inputs'!C10:C11)=2,IF(MIN('Inputs'!C10:C11)&lt;0,"Invalid fee",IF(MOD(A23-1,12)=0,SUM('Inputs'!C10:C11),0)),"Missing fee")</x:f>
        <x:v>0</x:v>
      </x:c>
      <x:c r="H23" s="219" t="n">
        <x:f>IF(AND(COUNT('Inputs'!B13:B16)=4,'Inputs'!B13&gt;=0,'Inputs'!B14&gt;=0,'Inputs'!B14&lt;=1,'Inputs'!B15&gt;=1,'Inputs'!B16&lt;=12,'Inputs'!B15&lt;='Inputs'!B16,MOD('Inputs'!B15,1)=0,MOD('Inputs'!B16,1)=0),IF(A23='Inputs'!B15,'Inputs'!B13*'Inputs'!B14,0)+IF(A23='Inputs'!B16,'Inputs'!B13*(1-'Inputs'!B14),0),"Missing / invalid milestone")</x:f>
        <x:v>0</x:v>
      </x:c>
      <x:c r="I23" s="219" t="n">
        <x:f>IF(AND(ISNUMBER('Inputs'!C12),ISNUMBER('Inputs'!B17),ISNUMBER(H23)),IF(OR('Inputs'!C12&lt;0,'Inputs'!B17&lt;0),"Invalid cost",'Inputs'!C12/12+IF(A23='Inputs'!B15,'Inputs'!B17,0)),"Missing cost")</x:f>
        <x:v>0</x:v>
      </x:c>
      <x:c r="J23" s="221" t="n">
        <x:f>IF(COUNT(G23:I23)=3,SUM(G23:I23),"Not calculated")</x:f>
        <x:v>0</x:v>
      </x:c>
      <x:c r="K23" s="219" t="n">
        <x:f>IF(AND(COUNT('Inputs'!B18:B20)=3,ISNUMBER('Inputs'!C21),ISNUMBER(H23)),IF(OR(MIN('Inputs'!B18:B20)&lt;0,'Inputs'!C21&lt;0),"Invalid hours",('Inputs'!C21+IF(A23='Inputs'!B15,'Inputs'!B18,0)+IF(A23='Inputs'!B16,'Inputs'!B19,0))*'Inputs'!B20),"Missing hours")</x:f>
        <x:v>680</x:v>
      </x:c>
      <x:c r="L23" s="219" t="n">
        <x:f>IF(COUNT(J23:K23)=2,SUM(J23:K23),"Not calculated")</x:f>
        <x:v>680</x:v>
      </x:c>
      <x:c r="M23" s="219" t="n">
        <x:f>IF(AND(ISNUMBER(F23),ISNUMBER(J23)),F23-J23,"Not calculated")</x:f>
        <x:v>0</x:v>
      </x:c>
      <x:c r="N23" s="221" t="n">
        <x:f>IF(COUNT(M$6:M23)=A23,SUM(M$6:M23),"Not calculated")</x:f>
        <x:v>-148800</x:v>
      </x:c>
      <x:c r="O23" s="219" t="n">
        <x:f>IF(AND(COUNT(E23:F23)=2,ISNUMBER(L23),ISNUMBER(T23)),SUM(E23:F23)-T23-L23,"Not calculated")</x:f>
        <x:v>16313.2</x:v>
      </x:c>
      <x:c r="P23" s="221" t="n">
        <x:f>IF(COUNT(O$6:O23)=A23,SUM(O$6:O23),"Not calculated")</x:f>
        <x:v>61901.399999999994</x:v>
      </x:c>
      <x:c r="Q23" s="221" t="n">
        <x:f>IF(AND(ISNUMBER(O23),ISNUMBER('Inputs'!B22)),IF(OR('Inputs'!B22&lt;0,'Inputs'!B22&gt;1),"Invalid rate",O23/(1+'Inputs'!B22)^(A23/12)),"Not calculated")</x:f>
        <x:v>14140.02355534654</x:v>
      </x:c>
      <x:c r="R23" s="96" t="n">
        <x:f>IF(COUNT(N23:N$41)=37-A23,IF(MIN(N23:N$41)&gt;=0,1,0),"Not calculated")</x:f>
        <x:v>0</x:v>
      </x:c>
      <x:c r="S23" s="96" t="n">
        <x:f>IF(COUNT(P23:P$41)=37-A23,IF(MIN(P23:P$41)&gt;=0,1,0),"Not calculated")</x:f>
        <x:v>1</x:v>
      </x:c>
      <x:c r="T23" s="224" t="n">
        <x:f>IF(AND(ISNUMBER(C23),COUNT('Inputs'!D32:D33)=2,ISNUMBER('Benefits'!F14)),IF(OR('Inputs'!D33&lt;0,'Inputs'!D33&gt;'Inputs'!D32,'Inputs'!D33&gt;'Benefits'!F14),"Invalid overlap",'Inputs'!D33*C23/12),"Not calculated")</x:f>
        <x:v>0</x:v>
      </x:c>
    </x:row>
    <x:row r="24" ht="32" customHeight="1">
      <x:c r="A24" s="156" t="n">
        <x:v>19</x:v>
      </x:c>
      <x:c r="B24" s="140" t="n">
        <x:f>IF('Inputs'!B7="","Set start date",IF(AND(ISNUMBER('Inputs'!B7),'Inputs'!B7&gt;0),EDATE('Inputs'!B7,A24-1),"Invalid date"))</x:f>
        <x:v>46905</x:v>
      </x:c>
      <x:c r="C24" s="229" t="n">
        <x:f>IF(ISNUMBER('Inputs'!C23),IF(OR('Inputs'!C23&lt;0,'Inputs'!C23&gt;1),"Invalid ramp",'Inputs'!C23),"Missing ramp")</x:f>
        <x:v>1</x:v>
      </x:c>
      <x:c r="D24" s="226" t="n">
        <x:f>IF(AND(ISNUMBER(C24),ISNUMBER('Benefits'!E14)),C24*'Benefits'!E14/12,"Not calculated")</x:f>
        <x:v>199.92</x:v>
      </x:c>
      <x:c r="E24" s="218" t="n">
        <x:f>IF(AND(ISNUMBER(C24),ISNUMBER('Benefits'!F14)),C24*'Benefits'!F14/12,"Not calculated")</x:f>
        <x:v>16993.2</x:v>
      </x:c>
      <x:c r="F24" s="218" t="n">
        <x:f>IF(AND(ISNUMBER(C24),ISNUMBER('Inputs'!D32)),IF('Inputs'!D32&lt;0,"Invalid savings",'Inputs'!D32*C24/12),"Not calculated")</x:f>
        <x:v>0</x:v>
      </x:c>
      <x:c r="G24" s="218" t="n">
        <x:f>IF(COUNT('Inputs'!C10:C11)=2,IF(MIN('Inputs'!C10:C11)&lt;0,"Invalid fee",IF(MOD(A24-1,12)=0,SUM('Inputs'!C10:C11),0)),"Missing fee")</x:f>
        <x:v>0</x:v>
      </x:c>
      <x:c r="H24" s="218" t="n">
        <x:f>IF(AND(COUNT('Inputs'!B13:B16)=4,'Inputs'!B13&gt;=0,'Inputs'!B14&gt;=0,'Inputs'!B14&lt;=1,'Inputs'!B15&gt;=1,'Inputs'!B16&lt;=12,'Inputs'!B15&lt;='Inputs'!B16,MOD('Inputs'!B15,1)=0,MOD('Inputs'!B16,1)=0),IF(A24='Inputs'!B15,'Inputs'!B13*'Inputs'!B14,0)+IF(A24='Inputs'!B16,'Inputs'!B13*(1-'Inputs'!B14),0),"Missing / invalid milestone")</x:f>
        <x:v>0</x:v>
      </x:c>
      <x:c r="I24" s="218" t="n">
        <x:f>IF(AND(ISNUMBER('Inputs'!C12),ISNUMBER('Inputs'!B17),ISNUMBER(H24)),IF(OR('Inputs'!C12&lt;0,'Inputs'!B17&lt;0),"Invalid cost",'Inputs'!C12/12+IF(A24='Inputs'!B15,'Inputs'!B17,0)),"Missing cost")</x:f>
        <x:v>0</x:v>
      </x:c>
      <x:c r="J24" s="221" t="n">
        <x:f>IF(COUNT(G24:I24)=3,SUM(G24:I24),"Not calculated")</x:f>
        <x:v>0</x:v>
      </x:c>
      <x:c r="K24" s="218" t="n">
        <x:f>IF(AND(COUNT('Inputs'!B18:B20)=3,ISNUMBER('Inputs'!C21),ISNUMBER(H24)),IF(OR(MIN('Inputs'!B18:B20)&lt;0,'Inputs'!C21&lt;0),"Invalid hours",('Inputs'!C21+IF(A24='Inputs'!B15,'Inputs'!B18,0)+IF(A24='Inputs'!B16,'Inputs'!B19,0))*'Inputs'!B20),"Missing hours")</x:f>
        <x:v>680</x:v>
      </x:c>
      <x:c r="L24" s="218" t="n">
        <x:f>IF(COUNT(J24:K24)=2,SUM(J24:K24),"Not calculated")</x:f>
        <x:v>680</x:v>
      </x:c>
      <x:c r="M24" s="218" t="n">
        <x:f>IF(AND(ISNUMBER(F24),ISNUMBER(J24)),F24-J24,"Not calculated")</x:f>
        <x:v>0</x:v>
      </x:c>
      <x:c r="N24" s="221" t="n">
        <x:f>IF(COUNT(M$6:M24)=A24,SUM(M$6:M24),"Not calculated")</x:f>
        <x:v>-148800</x:v>
      </x:c>
      <x:c r="O24" s="218" t="n">
        <x:f>IF(AND(COUNT(E24:F24)=2,ISNUMBER(L24),ISNUMBER(T24)),SUM(E24:F24)-T24-L24,"Not calculated")</x:f>
        <x:v>16313.2</x:v>
      </x:c>
      <x:c r="P24" s="221" t="n">
        <x:f>IF(COUNT(O$6:O24)=A24,SUM(O$6:O24),"Not calculated")</x:f>
        <x:v>78214.59999999999</x:v>
      </x:c>
      <x:c r="Q24" s="221" t="n">
        <x:f>IF(AND(ISNUMBER(O24),ISNUMBER('Inputs'!B22)),IF(OR('Inputs'!B22&lt;0,'Inputs'!B22&gt;1),"Invalid rate",O24/(1+'Inputs'!B22)^(A24/12)),"Not calculated")</x:f>
        <x:v>14028.161029339313</x:v>
      </x:c>
      <x:c r="R24" s="72" t="n">
        <x:f>IF(COUNT(N24:N$41)=37-A24,IF(MIN(N24:N$41)&gt;=0,1,0),"Not calculated")</x:f>
        <x:v>0</x:v>
      </x:c>
      <x:c r="S24" s="72" t="n">
        <x:f>IF(COUNT(P24:P$41)=37-A24,IF(MIN(P24:P$41)&gt;=0,1,0),"Not calculated")</x:f>
        <x:v>1</x:v>
      </x:c>
      <x:c r="T24" s="223" t="n">
        <x:f>IF(AND(ISNUMBER(C24),COUNT('Inputs'!D32:D33)=2,ISNUMBER('Benefits'!F14)),IF(OR('Inputs'!D33&lt;0,'Inputs'!D33&gt;'Inputs'!D32,'Inputs'!D33&gt;'Benefits'!F14),"Invalid overlap",'Inputs'!D33*C24/12),"Not calculated")</x:f>
        <x:v>0</x:v>
      </x:c>
    </x:row>
    <x:row r="25" ht="32" customHeight="1">
      <x:c r="A25" s="157" t="n">
        <x:v>20</x:v>
      </x:c>
      <x:c r="B25" s="147" t="n">
        <x:f>IF('Inputs'!B7="","Set start date",IF(AND(ISNUMBER('Inputs'!B7),'Inputs'!B7&gt;0),EDATE('Inputs'!B7,A25-1),"Invalid date"))</x:f>
        <x:v>46935</x:v>
      </x:c>
      <x:c r="C25" s="230" t="n">
        <x:f>IF(ISNUMBER('Inputs'!C23),IF(OR('Inputs'!C23&lt;0,'Inputs'!C23&gt;1),"Invalid ramp",'Inputs'!C23),"Missing ramp")</x:f>
        <x:v>1</x:v>
      </x:c>
      <x:c r="D25" s="227" t="n">
        <x:f>IF(AND(ISNUMBER(C25),ISNUMBER('Benefits'!E14)),C25*'Benefits'!E14/12,"Not calculated")</x:f>
        <x:v>199.92</x:v>
      </x:c>
      <x:c r="E25" s="219" t="n">
        <x:f>IF(AND(ISNUMBER(C25),ISNUMBER('Benefits'!F14)),C25*'Benefits'!F14/12,"Not calculated")</x:f>
        <x:v>16993.2</x:v>
      </x:c>
      <x:c r="F25" s="219" t="n">
        <x:f>IF(AND(ISNUMBER(C25),ISNUMBER('Inputs'!D32)),IF('Inputs'!D32&lt;0,"Invalid savings",'Inputs'!D32*C25/12),"Not calculated")</x:f>
        <x:v>0</x:v>
      </x:c>
      <x:c r="G25" s="219" t="n">
        <x:f>IF(COUNT('Inputs'!C10:C11)=2,IF(MIN('Inputs'!C10:C11)&lt;0,"Invalid fee",IF(MOD(A25-1,12)=0,SUM('Inputs'!C10:C11),0)),"Missing fee")</x:f>
        <x:v>0</x:v>
      </x:c>
      <x:c r="H25" s="219" t="n">
        <x:f>IF(AND(COUNT('Inputs'!B13:B16)=4,'Inputs'!B13&gt;=0,'Inputs'!B14&gt;=0,'Inputs'!B14&lt;=1,'Inputs'!B15&gt;=1,'Inputs'!B16&lt;=12,'Inputs'!B15&lt;='Inputs'!B16,MOD('Inputs'!B15,1)=0,MOD('Inputs'!B16,1)=0),IF(A25='Inputs'!B15,'Inputs'!B13*'Inputs'!B14,0)+IF(A25='Inputs'!B16,'Inputs'!B13*(1-'Inputs'!B14),0),"Missing / invalid milestone")</x:f>
        <x:v>0</x:v>
      </x:c>
      <x:c r="I25" s="219" t="n">
        <x:f>IF(AND(ISNUMBER('Inputs'!C12),ISNUMBER('Inputs'!B17),ISNUMBER(H25)),IF(OR('Inputs'!C12&lt;0,'Inputs'!B17&lt;0),"Invalid cost",'Inputs'!C12/12+IF(A25='Inputs'!B15,'Inputs'!B17,0)),"Missing cost")</x:f>
        <x:v>0</x:v>
      </x:c>
      <x:c r="J25" s="221" t="n">
        <x:f>IF(COUNT(G25:I25)=3,SUM(G25:I25),"Not calculated")</x:f>
        <x:v>0</x:v>
      </x:c>
      <x:c r="K25" s="219" t="n">
        <x:f>IF(AND(COUNT('Inputs'!B18:B20)=3,ISNUMBER('Inputs'!C21),ISNUMBER(H25)),IF(OR(MIN('Inputs'!B18:B20)&lt;0,'Inputs'!C21&lt;0),"Invalid hours",('Inputs'!C21+IF(A25='Inputs'!B15,'Inputs'!B18,0)+IF(A25='Inputs'!B16,'Inputs'!B19,0))*'Inputs'!B20),"Missing hours")</x:f>
        <x:v>680</x:v>
      </x:c>
      <x:c r="L25" s="219" t="n">
        <x:f>IF(COUNT(J25:K25)=2,SUM(J25:K25),"Not calculated")</x:f>
        <x:v>680</x:v>
      </x:c>
      <x:c r="M25" s="219" t="n">
        <x:f>IF(AND(ISNUMBER(F25),ISNUMBER(J25)),F25-J25,"Not calculated")</x:f>
        <x:v>0</x:v>
      </x:c>
      <x:c r="N25" s="221" t="n">
        <x:f>IF(COUNT(M$6:M25)=A25,SUM(M$6:M25),"Not calculated")</x:f>
        <x:v>-148800</x:v>
      </x:c>
      <x:c r="O25" s="219" t="n">
        <x:f>IF(AND(COUNT(E25:F25)=2,ISNUMBER(L25),ISNUMBER(T25)),SUM(E25:F25)-T25-L25,"Not calculated")</x:f>
        <x:v>16313.2</x:v>
      </x:c>
      <x:c r="P25" s="221" t="n">
        <x:f>IF(COUNT(O$6:O25)=A25,SUM(O$6:O25),"Not calculated")</x:f>
        <x:v>94527.79999999999</x:v>
      </x:c>
      <x:c r="Q25" s="221" t="n">
        <x:f>IF(AND(ISNUMBER(O25),ISNUMBER('Inputs'!B22)),IF(OR('Inputs'!B22&lt;0,'Inputs'!B22&gt;1),"Invalid rate",O25/(1+'Inputs'!B22)^(A25/12)),"Not calculated")</x:f>
        <x:v>13917.183454101494</x:v>
      </x:c>
      <x:c r="R25" s="96" t="n">
        <x:f>IF(COUNT(N25:N$41)=37-A25,IF(MIN(N25:N$41)&gt;=0,1,0),"Not calculated")</x:f>
        <x:v>0</x:v>
      </x:c>
      <x:c r="S25" s="96" t="n">
        <x:f>IF(COUNT(P25:P$41)=37-A25,IF(MIN(P25:P$41)&gt;=0,1,0),"Not calculated")</x:f>
        <x:v>1</x:v>
      </x:c>
      <x:c r="T25" s="224" t="n">
        <x:f>IF(AND(ISNUMBER(C25),COUNT('Inputs'!D32:D33)=2,ISNUMBER('Benefits'!F14)),IF(OR('Inputs'!D33&lt;0,'Inputs'!D33&gt;'Inputs'!D32,'Inputs'!D33&gt;'Benefits'!F14),"Invalid overlap",'Inputs'!D33*C25/12),"Not calculated")</x:f>
        <x:v>0</x:v>
      </x:c>
    </x:row>
    <x:row r="26" ht="32" customHeight="1">
      <x:c r="A26" s="156" t="n">
        <x:v>21</x:v>
      </x:c>
      <x:c r="B26" s="140" t="n">
        <x:f>IF('Inputs'!B7="","Set start date",IF(AND(ISNUMBER('Inputs'!B7),'Inputs'!B7&gt;0),EDATE('Inputs'!B7,A26-1),"Invalid date"))</x:f>
        <x:v>46966</x:v>
      </x:c>
      <x:c r="C26" s="229" t="n">
        <x:f>IF(ISNUMBER('Inputs'!C23),IF(OR('Inputs'!C23&lt;0,'Inputs'!C23&gt;1),"Invalid ramp",'Inputs'!C23),"Missing ramp")</x:f>
        <x:v>1</x:v>
      </x:c>
      <x:c r="D26" s="226" t="n">
        <x:f>IF(AND(ISNUMBER(C26),ISNUMBER('Benefits'!E14)),C26*'Benefits'!E14/12,"Not calculated")</x:f>
        <x:v>199.92</x:v>
      </x:c>
      <x:c r="E26" s="218" t="n">
        <x:f>IF(AND(ISNUMBER(C26),ISNUMBER('Benefits'!F14)),C26*'Benefits'!F14/12,"Not calculated")</x:f>
        <x:v>16993.2</x:v>
      </x:c>
      <x:c r="F26" s="218" t="n">
        <x:f>IF(AND(ISNUMBER(C26),ISNUMBER('Inputs'!D32)),IF('Inputs'!D32&lt;0,"Invalid savings",'Inputs'!D32*C26/12),"Not calculated")</x:f>
        <x:v>0</x:v>
      </x:c>
      <x:c r="G26" s="218" t="n">
        <x:f>IF(COUNT('Inputs'!C10:C11)=2,IF(MIN('Inputs'!C10:C11)&lt;0,"Invalid fee",IF(MOD(A26-1,12)=0,SUM('Inputs'!C10:C11),0)),"Missing fee")</x:f>
        <x:v>0</x:v>
      </x:c>
      <x:c r="H26" s="218" t="n">
        <x:f>IF(AND(COUNT('Inputs'!B13:B16)=4,'Inputs'!B13&gt;=0,'Inputs'!B14&gt;=0,'Inputs'!B14&lt;=1,'Inputs'!B15&gt;=1,'Inputs'!B16&lt;=12,'Inputs'!B15&lt;='Inputs'!B16,MOD('Inputs'!B15,1)=0,MOD('Inputs'!B16,1)=0),IF(A26='Inputs'!B15,'Inputs'!B13*'Inputs'!B14,0)+IF(A26='Inputs'!B16,'Inputs'!B13*(1-'Inputs'!B14),0),"Missing / invalid milestone")</x:f>
        <x:v>0</x:v>
      </x:c>
      <x:c r="I26" s="218" t="n">
        <x:f>IF(AND(ISNUMBER('Inputs'!C12),ISNUMBER('Inputs'!B17),ISNUMBER(H26)),IF(OR('Inputs'!C12&lt;0,'Inputs'!B17&lt;0),"Invalid cost",'Inputs'!C12/12+IF(A26='Inputs'!B15,'Inputs'!B17,0)),"Missing cost")</x:f>
        <x:v>0</x:v>
      </x:c>
      <x:c r="J26" s="221" t="n">
        <x:f>IF(COUNT(G26:I26)=3,SUM(G26:I26),"Not calculated")</x:f>
        <x:v>0</x:v>
      </x:c>
      <x:c r="K26" s="218" t="n">
        <x:f>IF(AND(COUNT('Inputs'!B18:B20)=3,ISNUMBER('Inputs'!C21),ISNUMBER(H26)),IF(OR(MIN('Inputs'!B18:B20)&lt;0,'Inputs'!C21&lt;0),"Invalid hours",('Inputs'!C21+IF(A26='Inputs'!B15,'Inputs'!B18,0)+IF(A26='Inputs'!B16,'Inputs'!B19,0))*'Inputs'!B20),"Missing hours")</x:f>
        <x:v>680</x:v>
      </x:c>
      <x:c r="L26" s="218" t="n">
        <x:f>IF(COUNT(J26:K26)=2,SUM(J26:K26),"Not calculated")</x:f>
        <x:v>680</x:v>
      </x:c>
      <x:c r="M26" s="218" t="n">
        <x:f>IF(AND(ISNUMBER(F26),ISNUMBER(J26)),F26-J26,"Not calculated")</x:f>
        <x:v>0</x:v>
      </x:c>
      <x:c r="N26" s="221" t="n">
        <x:f>IF(COUNT(M$6:M26)=A26,SUM(M$6:M26),"Not calculated")</x:f>
        <x:v>-148800</x:v>
      </x:c>
      <x:c r="O26" s="218" t="n">
        <x:f>IF(AND(COUNT(E26:F26)=2,ISNUMBER(L26),ISNUMBER(T26)),SUM(E26:F26)-T26-L26,"Not calculated")</x:f>
        <x:v>16313.2</x:v>
      </x:c>
      <x:c r="P26" s="221" t="n">
        <x:f>IF(COUNT(O$6:O26)=A26,SUM(O$6:O26),"Not calculated")</x:f>
        <x:v>110840.99999999999</x:v>
      </x:c>
      <x:c r="Q26" s="221" t="n">
        <x:f>IF(AND(ISNUMBER(O26),ISNUMBER('Inputs'!B22)),IF(OR('Inputs'!B22&lt;0,'Inputs'!B22&gt;1),"Invalid rate",O26/(1+'Inputs'!B22)^(A26/12)),"Not calculated")</x:f>
        <x:v>13807.083828737495</x:v>
      </x:c>
      <x:c r="R26" s="72" t="n">
        <x:f>IF(COUNT(N26:N$41)=37-A26,IF(MIN(N26:N$41)&gt;=0,1,0),"Not calculated")</x:f>
        <x:v>0</x:v>
      </x:c>
      <x:c r="S26" s="72" t="n">
        <x:f>IF(COUNT(P26:P$41)=37-A26,IF(MIN(P26:P$41)&gt;=0,1,0),"Not calculated")</x:f>
        <x:v>1</x:v>
      </x:c>
      <x:c r="T26" s="223" t="n">
        <x:f>IF(AND(ISNUMBER(C26),COUNT('Inputs'!D32:D33)=2,ISNUMBER('Benefits'!F14)),IF(OR('Inputs'!D33&lt;0,'Inputs'!D33&gt;'Inputs'!D32,'Inputs'!D33&gt;'Benefits'!F14),"Invalid overlap",'Inputs'!D33*C26/12),"Not calculated")</x:f>
        <x:v>0</x:v>
      </x:c>
    </x:row>
    <x:row r="27" ht="32" customHeight="1">
      <x:c r="A27" s="157" t="n">
        <x:v>22</x:v>
      </x:c>
      <x:c r="B27" s="147" t="n">
        <x:f>IF('Inputs'!B7="","Set start date",IF(AND(ISNUMBER('Inputs'!B7),'Inputs'!B7&gt;0),EDATE('Inputs'!B7,A27-1),"Invalid date"))</x:f>
        <x:v>46997</x:v>
      </x:c>
      <x:c r="C27" s="230" t="n">
        <x:f>IF(ISNUMBER('Inputs'!C23),IF(OR('Inputs'!C23&lt;0,'Inputs'!C23&gt;1),"Invalid ramp",'Inputs'!C23),"Missing ramp")</x:f>
        <x:v>1</x:v>
      </x:c>
      <x:c r="D27" s="227" t="n">
        <x:f>IF(AND(ISNUMBER(C27),ISNUMBER('Benefits'!E14)),C27*'Benefits'!E14/12,"Not calculated")</x:f>
        <x:v>199.92</x:v>
      </x:c>
      <x:c r="E27" s="219" t="n">
        <x:f>IF(AND(ISNUMBER(C27),ISNUMBER('Benefits'!F14)),C27*'Benefits'!F14/12,"Not calculated")</x:f>
        <x:v>16993.2</x:v>
      </x:c>
      <x:c r="F27" s="219" t="n">
        <x:f>IF(AND(ISNUMBER(C27),ISNUMBER('Inputs'!D32)),IF('Inputs'!D32&lt;0,"Invalid savings",'Inputs'!D32*C27/12),"Not calculated")</x:f>
        <x:v>0</x:v>
      </x:c>
      <x:c r="G27" s="219" t="n">
        <x:f>IF(COUNT('Inputs'!C10:C11)=2,IF(MIN('Inputs'!C10:C11)&lt;0,"Invalid fee",IF(MOD(A27-1,12)=0,SUM('Inputs'!C10:C11),0)),"Missing fee")</x:f>
        <x:v>0</x:v>
      </x:c>
      <x:c r="H27" s="219" t="n">
        <x:f>IF(AND(COUNT('Inputs'!B13:B16)=4,'Inputs'!B13&gt;=0,'Inputs'!B14&gt;=0,'Inputs'!B14&lt;=1,'Inputs'!B15&gt;=1,'Inputs'!B16&lt;=12,'Inputs'!B15&lt;='Inputs'!B16,MOD('Inputs'!B15,1)=0,MOD('Inputs'!B16,1)=0),IF(A27='Inputs'!B15,'Inputs'!B13*'Inputs'!B14,0)+IF(A27='Inputs'!B16,'Inputs'!B13*(1-'Inputs'!B14),0),"Missing / invalid milestone")</x:f>
        <x:v>0</x:v>
      </x:c>
      <x:c r="I27" s="219" t="n">
        <x:f>IF(AND(ISNUMBER('Inputs'!C12),ISNUMBER('Inputs'!B17),ISNUMBER(H27)),IF(OR('Inputs'!C12&lt;0,'Inputs'!B17&lt;0),"Invalid cost",'Inputs'!C12/12+IF(A27='Inputs'!B15,'Inputs'!B17,0)),"Missing cost")</x:f>
        <x:v>0</x:v>
      </x:c>
      <x:c r="J27" s="221" t="n">
        <x:f>IF(COUNT(G27:I27)=3,SUM(G27:I27),"Not calculated")</x:f>
        <x:v>0</x:v>
      </x:c>
      <x:c r="K27" s="219" t="n">
        <x:f>IF(AND(COUNT('Inputs'!B18:B20)=3,ISNUMBER('Inputs'!C21),ISNUMBER(H27)),IF(OR(MIN('Inputs'!B18:B20)&lt;0,'Inputs'!C21&lt;0),"Invalid hours",('Inputs'!C21+IF(A27='Inputs'!B15,'Inputs'!B18,0)+IF(A27='Inputs'!B16,'Inputs'!B19,0))*'Inputs'!B20),"Missing hours")</x:f>
        <x:v>680</x:v>
      </x:c>
      <x:c r="L27" s="219" t="n">
        <x:f>IF(COUNT(J27:K27)=2,SUM(J27:K27),"Not calculated")</x:f>
        <x:v>680</x:v>
      </x:c>
      <x:c r="M27" s="219" t="n">
        <x:f>IF(AND(ISNUMBER(F27),ISNUMBER(J27)),F27-J27,"Not calculated")</x:f>
        <x:v>0</x:v>
      </x:c>
      <x:c r="N27" s="221" t="n">
        <x:f>IF(COUNT(M$6:M27)=A27,SUM(M$6:M27),"Not calculated")</x:f>
        <x:v>-148800</x:v>
      </x:c>
      <x:c r="O27" s="219" t="n">
        <x:f>IF(AND(COUNT(E27:F27)=2,ISNUMBER(L27),ISNUMBER(T27)),SUM(E27:F27)-T27-L27,"Not calculated")</x:f>
        <x:v>16313.2</x:v>
      </x:c>
      <x:c r="P27" s="221" t="n">
        <x:f>IF(COUNT(O$6:O27)=A27,SUM(O$6:O27),"Not calculated")</x:f>
        <x:v>127154.19999999998</x:v>
      </x:c>
      <x:c r="Q27" s="221" t="n">
        <x:f>IF(AND(ISNUMBER(O27),ISNUMBER('Inputs'!B22)),IF(OR('Inputs'!B22&lt;0,'Inputs'!B22&gt;1),"Invalid rate",O27/(1+'Inputs'!B22)^(A27/12)),"Not calculated")</x:f>
        <x:v>13697.855207736215</x:v>
      </x:c>
      <x:c r="R27" s="96" t="n">
        <x:f>IF(COUNT(N27:N$41)=37-A27,IF(MIN(N27:N$41)&gt;=0,1,0),"Not calculated")</x:f>
        <x:v>0</x:v>
      </x:c>
      <x:c r="S27" s="96" t="n">
        <x:f>IF(COUNT(P27:P$41)=37-A27,IF(MIN(P27:P$41)&gt;=0,1,0),"Not calculated")</x:f>
        <x:v>1</x:v>
      </x:c>
      <x:c r="T27" s="224" t="n">
        <x:f>IF(AND(ISNUMBER(C27),COUNT('Inputs'!D32:D33)=2,ISNUMBER('Benefits'!F14)),IF(OR('Inputs'!D33&lt;0,'Inputs'!D33&gt;'Inputs'!D32,'Inputs'!D33&gt;'Benefits'!F14),"Invalid overlap",'Inputs'!D33*C27/12),"Not calculated")</x:f>
        <x:v>0</x:v>
      </x:c>
    </x:row>
    <x:row r="28" ht="32" customHeight="1">
      <x:c r="A28" s="156" t="n">
        <x:v>23</x:v>
      </x:c>
      <x:c r="B28" s="140" t="n">
        <x:f>IF('Inputs'!B7="","Set start date",IF(AND(ISNUMBER('Inputs'!B7),'Inputs'!B7&gt;0),EDATE('Inputs'!B7,A28-1),"Invalid date"))</x:f>
        <x:v>47027</x:v>
      </x:c>
      <x:c r="C28" s="229" t="n">
        <x:f>IF(ISNUMBER('Inputs'!C23),IF(OR('Inputs'!C23&lt;0,'Inputs'!C23&gt;1),"Invalid ramp",'Inputs'!C23),"Missing ramp")</x:f>
        <x:v>1</x:v>
      </x:c>
      <x:c r="D28" s="226" t="n">
        <x:f>IF(AND(ISNUMBER(C28),ISNUMBER('Benefits'!E14)),C28*'Benefits'!E14/12,"Not calculated")</x:f>
        <x:v>199.92</x:v>
      </x:c>
      <x:c r="E28" s="218" t="n">
        <x:f>IF(AND(ISNUMBER(C28),ISNUMBER('Benefits'!F14)),C28*'Benefits'!F14/12,"Not calculated")</x:f>
        <x:v>16993.2</x:v>
      </x:c>
      <x:c r="F28" s="218" t="n">
        <x:f>IF(AND(ISNUMBER(C28),ISNUMBER('Inputs'!D32)),IF('Inputs'!D32&lt;0,"Invalid savings",'Inputs'!D32*C28/12),"Not calculated")</x:f>
        <x:v>0</x:v>
      </x:c>
      <x:c r="G28" s="218" t="n">
        <x:f>IF(COUNT('Inputs'!C10:C11)=2,IF(MIN('Inputs'!C10:C11)&lt;0,"Invalid fee",IF(MOD(A28-1,12)=0,SUM('Inputs'!C10:C11),0)),"Missing fee")</x:f>
        <x:v>0</x:v>
      </x:c>
      <x:c r="H28" s="218" t="n">
        <x:f>IF(AND(COUNT('Inputs'!B13:B16)=4,'Inputs'!B13&gt;=0,'Inputs'!B14&gt;=0,'Inputs'!B14&lt;=1,'Inputs'!B15&gt;=1,'Inputs'!B16&lt;=12,'Inputs'!B15&lt;='Inputs'!B16,MOD('Inputs'!B15,1)=0,MOD('Inputs'!B16,1)=0),IF(A28='Inputs'!B15,'Inputs'!B13*'Inputs'!B14,0)+IF(A28='Inputs'!B16,'Inputs'!B13*(1-'Inputs'!B14),0),"Missing / invalid milestone")</x:f>
        <x:v>0</x:v>
      </x:c>
      <x:c r="I28" s="218" t="n">
        <x:f>IF(AND(ISNUMBER('Inputs'!C12),ISNUMBER('Inputs'!B17),ISNUMBER(H28)),IF(OR('Inputs'!C12&lt;0,'Inputs'!B17&lt;0),"Invalid cost",'Inputs'!C12/12+IF(A28='Inputs'!B15,'Inputs'!B17,0)),"Missing cost")</x:f>
        <x:v>0</x:v>
      </x:c>
      <x:c r="J28" s="221" t="n">
        <x:f>IF(COUNT(G28:I28)=3,SUM(G28:I28),"Not calculated")</x:f>
        <x:v>0</x:v>
      </x:c>
      <x:c r="K28" s="218" t="n">
        <x:f>IF(AND(COUNT('Inputs'!B18:B20)=3,ISNUMBER('Inputs'!C21),ISNUMBER(H28)),IF(OR(MIN('Inputs'!B18:B20)&lt;0,'Inputs'!C21&lt;0),"Invalid hours",('Inputs'!C21+IF(A28='Inputs'!B15,'Inputs'!B18,0)+IF(A28='Inputs'!B16,'Inputs'!B19,0))*'Inputs'!B20),"Missing hours")</x:f>
        <x:v>680</x:v>
      </x:c>
      <x:c r="L28" s="218" t="n">
        <x:f>IF(COUNT(J28:K28)=2,SUM(J28:K28),"Not calculated")</x:f>
        <x:v>680</x:v>
      </x:c>
      <x:c r="M28" s="218" t="n">
        <x:f>IF(AND(ISNUMBER(F28),ISNUMBER(J28)),F28-J28,"Not calculated")</x:f>
        <x:v>0</x:v>
      </x:c>
      <x:c r="N28" s="221" t="n">
        <x:f>IF(COUNT(M$6:M28)=A28,SUM(M$6:M28),"Not calculated")</x:f>
        <x:v>-148800</x:v>
      </x:c>
      <x:c r="O28" s="218" t="n">
        <x:f>IF(AND(COUNT(E28:F28)=2,ISNUMBER(L28),ISNUMBER(T28)),SUM(E28:F28)-T28-L28,"Not calculated")</x:f>
        <x:v>16313.2</x:v>
      </x:c>
      <x:c r="P28" s="221" t="n">
        <x:f>IF(COUNT(O$6:O28)=A28,SUM(O$6:O28),"Not calculated")</x:f>
        <x:v>143467.4</x:v>
      </x:c>
      <x:c r="Q28" s="221" t="n">
        <x:f>IF(AND(ISNUMBER(O28),ISNUMBER('Inputs'!B22)),IF(OR('Inputs'!B22&lt;0,'Inputs'!B22&gt;1),"Invalid rate",O28/(1+'Inputs'!B22)^(A28/12)),"Not calculated")</x:f>
        <x:v>13589.490700532886</x:v>
      </x:c>
      <x:c r="R28" s="72" t="n">
        <x:f>IF(COUNT(N28:N$41)=37-A28,IF(MIN(N28:N$41)&gt;=0,1,0),"Not calculated")</x:f>
        <x:v>0</x:v>
      </x:c>
      <x:c r="S28" s="72" t="n">
        <x:f>IF(COUNT(P28:P$41)=37-A28,IF(MIN(P28:P$41)&gt;=0,1,0),"Not calculated")</x:f>
        <x:v>1</x:v>
      </x:c>
      <x:c r="T28" s="223" t="n">
        <x:f>IF(AND(ISNUMBER(C28),COUNT('Inputs'!D32:D33)=2,ISNUMBER('Benefits'!F14)),IF(OR('Inputs'!D33&lt;0,'Inputs'!D33&gt;'Inputs'!D32,'Inputs'!D33&gt;'Benefits'!F14),"Invalid overlap",'Inputs'!D33*C28/12),"Not calculated")</x:f>
        <x:v>0</x:v>
      </x:c>
    </x:row>
    <x:row r="29" ht="32" customHeight="1">
      <x:c r="A29" s="157" t="n">
        <x:v>24</x:v>
      </x:c>
      <x:c r="B29" s="147" t="n">
        <x:f>IF('Inputs'!B7="","Set start date",IF(AND(ISNUMBER('Inputs'!B7),'Inputs'!B7&gt;0),EDATE('Inputs'!B7,A29-1),"Invalid date"))</x:f>
        <x:v>47058</x:v>
      </x:c>
      <x:c r="C29" s="230" t="n">
        <x:f>IF(ISNUMBER('Inputs'!C23),IF(OR('Inputs'!C23&lt;0,'Inputs'!C23&gt;1),"Invalid ramp",'Inputs'!C23),"Missing ramp")</x:f>
        <x:v>1</x:v>
      </x:c>
      <x:c r="D29" s="227" t="n">
        <x:f>IF(AND(ISNUMBER(C29),ISNUMBER('Benefits'!E14)),C29*'Benefits'!E14/12,"Not calculated")</x:f>
        <x:v>199.92</x:v>
      </x:c>
      <x:c r="E29" s="219" t="n">
        <x:f>IF(AND(ISNUMBER(C29),ISNUMBER('Benefits'!F14)),C29*'Benefits'!F14/12,"Not calculated")</x:f>
        <x:v>16993.2</x:v>
      </x:c>
      <x:c r="F29" s="219" t="n">
        <x:f>IF(AND(ISNUMBER(C29),ISNUMBER('Inputs'!D32)),IF('Inputs'!D32&lt;0,"Invalid savings",'Inputs'!D32*C29/12),"Not calculated")</x:f>
        <x:v>0</x:v>
      </x:c>
      <x:c r="G29" s="219" t="n">
        <x:f>IF(COUNT('Inputs'!C10:C11)=2,IF(MIN('Inputs'!C10:C11)&lt;0,"Invalid fee",IF(MOD(A29-1,12)=0,SUM('Inputs'!C10:C11),0)),"Missing fee")</x:f>
        <x:v>0</x:v>
      </x:c>
      <x:c r="H29" s="219" t="n">
        <x:f>IF(AND(COUNT('Inputs'!B13:B16)=4,'Inputs'!B13&gt;=0,'Inputs'!B14&gt;=0,'Inputs'!B14&lt;=1,'Inputs'!B15&gt;=1,'Inputs'!B16&lt;=12,'Inputs'!B15&lt;='Inputs'!B16,MOD('Inputs'!B15,1)=0,MOD('Inputs'!B16,1)=0),IF(A29='Inputs'!B15,'Inputs'!B13*'Inputs'!B14,0)+IF(A29='Inputs'!B16,'Inputs'!B13*(1-'Inputs'!B14),0),"Missing / invalid milestone")</x:f>
        <x:v>0</x:v>
      </x:c>
      <x:c r="I29" s="219" t="n">
        <x:f>IF(AND(ISNUMBER('Inputs'!C12),ISNUMBER('Inputs'!B17),ISNUMBER(H29)),IF(OR('Inputs'!C12&lt;0,'Inputs'!B17&lt;0),"Invalid cost",'Inputs'!C12/12+IF(A29='Inputs'!B15,'Inputs'!B17,0)),"Missing cost")</x:f>
        <x:v>0</x:v>
      </x:c>
      <x:c r="J29" s="221" t="n">
        <x:f>IF(COUNT(G29:I29)=3,SUM(G29:I29),"Not calculated")</x:f>
        <x:v>0</x:v>
      </x:c>
      <x:c r="K29" s="219" t="n">
        <x:f>IF(AND(COUNT('Inputs'!B18:B20)=3,ISNUMBER('Inputs'!C21),ISNUMBER(H29)),IF(OR(MIN('Inputs'!B18:B20)&lt;0,'Inputs'!C21&lt;0),"Invalid hours",('Inputs'!C21+IF(A29='Inputs'!B15,'Inputs'!B18,0)+IF(A29='Inputs'!B16,'Inputs'!B19,0))*'Inputs'!B20),"Missing hours")</x:f>
        <x:v>680</x:v>
      </x:c>
      <x:c r="L29" s="219" t="n">
        <x:f>IF(COUNT(J29:K29)=2,SUM(J29:K29),"Not calculated")</x:f>
        <x:v>680</x:v>
      </x:c>
      <x:c r="M29" s="219" t="n">
        <x:f>IF(AND(ISNUMBER(F29),ISNUMBER(J29)),F29-J29,"Not calculated")</x:f>
        <x:v>0</x:v>
      </x:c>
      <x:c r="N29" s="221" t="n">
        <x:f>IF(COUNT(M$6:M29)=A29,SUM(M$6:M29),"Not calculated")</x:f>
        <x:v>-148800</x:v>
      </x:c>
      <x:c r="O29" s="219" t="n">
        <x:f>IF(AND(COUNT(E29:F29)=2,ISNUMBER(L29),ISNUMBER(T29)),SUM(E29:F29)-T29-L29,"Not calculated")</x:f>
        <x:v>16313.2</x:v>
      </x:c>
      <x:c r="P29" s="221" t="n">
        <x:f>IF(COUNT(O$6:O29)=A29,SUM(O$6:O29),"Not calculated")</x:f>
        <x:v>159780.6</x:v>
      </x:c>
      <x:c r="Q29" s="221" t="n">
        <x:f>IF(AND(ISNUMBER(O29),ISNUMBER('Inputs'!B22)),IF(OR('Inputs'!B22&lt;0,'Inputs'!B22&gt;1),"Invalid rate",O29/(1+'Inputs'!B22)^(A29/12)),"Not calculated")</x:f>
        <x:v>13481.983471074378</x:v>
      </x:c>
      <x:c r="R29" s="96" t="n">
        <x:f>IF(COUNT(N29:N$41)=37-A29,IF(MIN(N29:N$41)&gt;=0,1,0),"Not calculated")</x:f>
        <x:v>0</x:v>
      </x:c>
      <x:c r="S29" s="96" t="n">
        <x:f>IF(COUNT(P29:P$41)=37-A29,IF(MIN(P29:P$41)&gt;=0,1,0),"Not calculated")</x:f>
        <x:v>1</x:v>
      </x:c>
      <x:c r="T29" s="224" t="n">
        <x:f>IF(AND(ISNUMBER(C29),COUNT('Inputs'!D32:D33)=2,ISNUMBER('Benefits'!F14)),IF(OR('Inputs'!D33&lt;0,'Inputs'!D33&gt;'Inputs'!D32,'Inputs'!D33&gt;'Benefits'!F14),"Invalid overlap",'Inputs'!D33*C29/12),"Not calculated")</x:f>
        <x:v>0</x:v>
      </x:c>
    </x:row>
    <x:row r="30" ht="32" customHeight="1">
      <x:c r="A30" s="156" t="n">
        <x:v>25</x:v>
      </x:c>
      <x:c r="B30" s="140" t="n">
        <x:f>IF('Inputs'!B7="","Set start date",IF(AND(ISNUMBER('Inputs'!B7),'Inputs'!B7&gt;0),EDATE('Inputs'!B7,A30-1),"Invalid date"))</x:f>
        <x:v>47088</x:v>
      </x:c>
      <x:c r="C30" s="229" t="n">
        <x:f>IF(ISNUMBER('Inputs'!D23),IF(OR('Inputs'!D23&lt;0,'Inputs'!D23&gt;1),"Invalid ramp",'Inputs'!D23),"Missing ramp")</x:f>
        <x:v>1</x:v>
      </x:c>
      <x:c r="D30" s="226" t="n">
        <x:f>IF(AND(ISNUMBER(C30),ISNUMBER('Benefits'!E14)),C30*'Benefits'!E14/12,"Not calculated")</x:f>
        <x:v>199.92</x:v>
      </x:c>
      <x:c r="E30" s="218" t="n">
        <x:f>IF(AND(ISNUMBER(C30),ISNUMBER('Benefits'!F14)),C30*'Benefits'!F14/12,"Not calculated")</x:f>
        <x:v>16993.2</x:v>
      </x:c>
      <x:c r="F30" s="218" t="n">
        <x:f>IF(AND(ISNUMBER(C30),ISNUMBER('Inputs'!D32)),IF('Inputs'!D32&lt;0,"Invalid savings",'Inputs'!D32*C30/12),"Not calculated")</x:f>
        <x:v>0</x:v>
      </x:c>
      <x:c r="G30" s="218" t="n">
        <x:f>IF(COUNT('Inputs'!D10:D11)=2,IF(MIN('Inputs'!D10:D11)&lt;0,"Invalid fee",IF(MOD(A30-1,12)=0,SUM('Inputs'!D10:D11),0)),"Missing fee")</x:f>
        <x:v>69600</x:v>
      </x:c>
      <x:c r="H30" s="218" t="n">
        <x:f>IF(AND(COUNT('Inputs'!B13:B16)=4,'Inputs'!B13&gt;=0,'Inputs'!B14&gt;=0,'Inputs'!B14&lt;=1,'Inputs'!B15&gt;=1,'Inputs'!B16&lt;=12,'Inputs'!B15&lt;='Inputs'!B16,MOD('Inputs'!B15,1)=0,MOD('Inputs'!B16,1)=0),IF(A30='Inputs'!B15,'Inputs'!B13*'Inputs'!B14,0)+IF(A30='Inputs'!B16,'Inputs'!B13*(1-'Inputs'!B14),0),"Missing / invalid milestone")</x:f>
        <x:v>0</x:v>
      </x:c>
      <x:c r="I30" s="218" t="n">
        <x:f>IF(AND(ISNUMBER('Inputs'!D12),ISNUMBER('Inputs'!B17),ISNUMBER(H30)),IF(OR('Inputs'!D12&lt;0,'Inputs'!B17&lt;0),"Invalid cost",'Inputs'!D12/12+IF(A30='Inputs'!B15,'Inputs'!B17,0)),"Missing cost")</x:f>
        <x:v>0</x:v>
      </x:c>
      <x:c r="J30" s="221" t="n">
        <x:f>IF(COUNT(G30:I30)=3,SUM(G30:I30),"Not calculated")</x:f>
        <x:v>69600</x:v>
      </x:c>
      <x:c r="K30" s="218" t="n">
        <x:f>IF(AND(COUNT('Inputs'!B18:B20)=3,ISNUMBER('Inputs'!D21),ISNUMBER(H30)),IF(OR(MIN('Inputs'!B18:B20)&lt;0,'Inputs'!D21&lt;0),"Invalid hours",('Inputs'!D21+IF(A30='Inputs'!B15,'Inputs'!B18,0)+IF(A30='Inputs'!B16,'Inputs'!B19,0))*'Inputs'!B20),"Missing hours")</x:f>
        <x:v>680</x:v>
      </x:c>
      <x:c r="L30" s="218" t="n">
        <x:f>IF(COUNT(J30:K30)=2,SUM(J30:K30),"Not calculated")</x:f>
        <x:v>70280</x:v>
      </x:c>
      <x:c r="M30" s="218" t="n">
        <x:f>IF(AND(ISNUMBER(F30),ISNUMBER(J30)),F30-J30,"Not calculated")</x:f>
        <x:v>-69600</x:v>
      </x:c>
      <x:c r="N30" s="221" t="n">
        <x:f>IF(COUNT(M$6:M30)=A30,SUM(M$6:M30),"Not calculated")</x:f>
        <x:v>-218400</x:v>
      </x:c>
      <x:c r="O30" s="218" t="n">
        <x:f>IF(AND(COUNT(E30:F30)=2,ISNUMBER(L30),ISNUMBER(T30)),SUM(E30:F30)-T30-L30,"Not calculated")</x:f>
        <x:v>-53286.8</x:v>
      </x:c>
      <x:c r="P30" s="221" t="n">
        <x:f>IF(COUNT(O$6:O30)=A30,SUM(O$6:O30),"Not calculated")</x:f>
        <x:v>106493.8</x:v>
      </x:c>
      <x:c r="Q30" s="221" t="n">
        <x:f>IF(AND(ISNUMBER(O30),ISNUMBER('Inputs'!B22)),IF(OR('Inputs'!B22&lt;0,'Inputs'!B22&gt;1),"Invalid rate",O30/(1+'Inputs'!B22)^(A30/12)),"Not calculated")</x:f>
        <x:v>-43690.28521625712</x:v>
      </x:c>
      <x:c r="R30" s="72" t="n">
        <x:f>IF(COUNT(N30:N$41)=37-A30,IF(MIN(N30:N$41)&gt;=0,1,0),"Not calculated")</x:f>
        <x:v>0</x:v>
      </x:c>
      <x:c r="S30" s="72" t="n">
        <x:f>IF(COUNT(P30:P$41)=37-A30,IF(MIN(P30:P$41)&gt;=0,1,0),"Not calculated")</x:f>
        <x:v>1</x:v>
      </x:c>
      <x:c r="T30" s="223" t="n">
        <x:f>IF(AND(ISNUMBER(C30),COUNT('Inputs'!D32:D33)=2,ISNUMBER('Benefits'!F14)),IF(OR('Inputs'!D33&lt;0,'Inputs'!D33&gt;'Inputs'!D32,'Inputs'!D33&gt;'Benefits'!F14),"Invalid overlap",'Inputs'!D33*C30/12),"Not calculated")</x:f>
        <x:v>0</x:v>
      </x:c>
    </x:row>
    <x:row r="31" ht="32" customHeight="1">
      <x:c r="A31" s="157" t="n">
        <x:v>26</x:v>
      </x:c>
      <x:c r="B31" s="147" t="n">
        <x:f>IF('Inputs'!B7="","Set start date",IF(AND(ISNUMBER('Inputs'!B7),'Inputs'!B7&gt;0),EDATE('Inputs'!B7,A31-1),"Invalid date"))</x:f>
        <x:v>47119</x:v>
      </x:c>
      <x:c r="C31" s="230" t="n">
        <x:f>IF(ISNUMBER('Inputs'!D23),IF(OR('Inputs'!D23&lt;0,'Inputs'!D23&gt;1),"Invalid ramp",'Inputs'!D23),"Missing ramp")</x:f>
        <x:v>1</x:v>
      </x:c>
      <x:c r="D31" s="227" t="n">
        <x:f>IF(AND(ISNUMBER(C31),ISNUMBER('Benefits'!E14)),C31*'Benefits'!E14/12,"Not calculated")</x:f>
        <x:v>199.92</x:v>
      </x:c>
      <x:c r="E31" s="219" t="n">
        <x:f>IF(AND(ISNUMBER(C31),ISNUMBER('Benefits'!F14)),C31*'Benefits'!F14/12,"Not calculated")</x:f>
        <x:v>16993.2</x:v>
      </x:c>
      <x:c r="F31" s="219" t="n">
        <x:f>IF(AND(ISNUMBER(C31),ISNUMBER('Inputs'!D32)),IF('Inputs'!D32&lt;0,"Invalid savings",'Inputs'!D32*C31/12),"Not calculated")</x:f>
        <x:v>0</x:v>
      </x:c>
      <x:c r="G31" s="219" t="n">
        <x:f>IF(COUNT('Inputs'!D10:D11)=2,IF(MIN('Inputs'!D10:D11)&lt;0,"Invalid fee",IF(MOD(A31-1,12)=0,SUM('Inputs'!D10:D11),0)),"Missing fee")</x:f>
        <x:v>0</x:v>
      </x:c>
      <x:c r="H31" s="219" t="n">
        <x:f>IF(AND(COUNT('Inputs'!B13:B16)=4,'Inputs'!B13&gt;=0,'Inputs'!B14&gt;=0,'Inputs'!B14&lt;=1,'Inputs'!B15&gt;=1,'Inputs'!B16&lt;=12,'Inputs'!B15&lt;='Inputs'!B16,MOD('Inputs'!B15,1)=0,MOD('Inputs'!B16,1)=0),IF(A31='Inputs'!B15,'Inputs'!B13*'Inputs'!B14,0)+IF(A31='Inputs'!B16,'Inputs'!B13*(1-'Inputs'!B14),0),"Missing / invalid milestone")</x:f>
        <x:v>0</x:v>
      </x:c>
      <x:c r="I31" s="219" t="n">
        <x:f>IF(AND(ISNUMBER('Inputs'!D12),ISNUMBER('Inputs'!B17),ISNUMBER(H31)),IF(OR('Inputs'!D12&lt;0,'Inputs'!B17&lt;0),"Invalid cost",'Inputs'!D12/12+IF(A31='Inputs'!B15,'Inputs'!B17,0)),"Missing cost")</x:f>
        <x:v>0</x:v>
      </x:c>
      <x:c r="J31" s="221" t="n">
        <x:f>IF(COUNT(G31:I31)=3,SUM(G31:I31),"Not calculated")</x:f>
        <x:v>0</x:v>
      </x:c>
      <x:c r="K31" s="219" t="n">
        <x:f>IF(AND(COUNT('Inputs'!B18:B20)=3,ISNUMBER('Inputs'!D21),ISNUMBER(H31)),IF(OR(MIN('Inputs'!B18:B20)&lt;0,'Inputs'!D21&lt;0),"Invalid hours",('Inputs'!D21+IF(A31='Inputs'!B15,'Inputs'!B18,0)+IF(A31='Inputs'!B16,'Inputs'!B19,0))*'Inputs'!B20),"Missing hours")</x:f>
        <x:v>680</x:v>
      </x:c>
      <x:c r="L31" s="219" t="n">
        <x:f>IF(COUNT(J31:K31)=2,SUM(J31:K31),"Not calculated")</x:f>
        <x:v>680</x:v>
      </x:c>
      <x:c r="M31" s="219" t="n">
        <x:f>IF(AND(ISNUMBER(F31),ISNUMBER(J31)),F31-J31,"Not calculated")</x:f>
        <x:v>0</x:v>
      </x:c>
      <x:c r="N31" s="221" t="n">
        <x:f>IF(COUNT(M$6:M31)=A31,SUM(M$6:M31),"Not calculated")</x:f>
        <x:v>-218400</x:v>
      </x:c>
      <x:c r="O31" s="219" t="n">
        <x:f>IF(AND(COUNT(E31:F31)=2,ISNUMBER(L31),ISNUMBER(T31)),SUM(E31:F31)-T31-L31,"Not calculated")</x:f>
        <x:v>16313.2</x:v>
      </x:c>
      <x:c r="P31" s="221" t="n">
        <x:f>IF(COUNT(O$6:O31)=A31,SUM(O$6:O31),"Not calculated")</x:f>
        <x:v>122807</x:v>
      </x:c>
      <x:c r="Q31" s="221" t="n">
        <x:f>IF(AND(ISNUMBER(O31),ISNUMBER('Inputs'!B22)),IF(OR('Inputs'!B22&lt;0,'Inputs'!B22&gt;1),"Invalid rate",O31/(1+'Inputs'!B22)^(A31/12)),"Not calculated")</x:f>
        <x:v>13269.513771153526</x:v>
      </x:c>
      <x:c r="R31" s="96" t="n">
        <x:f>IF(COUNT(N31:N$41)=37-A31,IF(MIN(N31:N$41)&gt;=0,1,0),"Not calculated")</x:f>
        <x:v>0</x:v>
      </x:c>
      <x:c r="S31" s="96" t="n">
        <x:f>IF(COUNT(P31:P$41)=37-A31,IF(MIN(P31:P$41)&gt;=0,1,0),"Not calculated")</x:f>
        <x:v>1</x:v>
      </x:c>
      <x:c r="T31" s="224" t="n">
        <x:f>IF(AND(ISNUMBER(C31),COUNT('Inputs'!D32:D33)=2,ISNUMBER('Benefits'!F14)),IF(OR('Inputs'!D33&lt;0,'Inputs'!D33&gt;'Inputs'!D32,'Inputs'!D33&gt;'Benefits'!F14),"Invalid overlap",'Inputs'!D33*C31/12),"Not calculated")</x:f>
        <x:v>0</x:v>
      </x:c>
    </x:row>
    <x:row r="32" ht="32" customHeight="1">
      <x:c r="A32" s="156" t="n">
        <x:v>27</x:v>
      </x:c>
      <x:c r="B32" s="140" t="n">
        <x:f>IF('Inputs'!B7="","Set start date",IF(AND(ISNUMBER('Inputs'!B7),'Inputs'!B7&gt;0),EDATE('Inputs'!B7,A32-1),"Invalid date"))</x:f>
        <x:v>47150</x:v>
      </x:c>
      <x:c r="C32" s="229" t="n">
        <x:f>IF(ISNUMBER('Inputs'!D23),IF(OR('Inputs'!D23&lt;0,'Inputs'!D23&gt;1),"Invalid ramp",'Inputs'!D23),"Missing ramp")</x:f>
        <x:v>1</x:v>
      </x:c>
      <x:c r="D32" s="226" t="n">
        <x:f>IF(AND(ISNUMBER(C32),ISNUMBER('Benefits'!E14)),C32*'Benefits'!E14/12,"Not calculated")</x:f>
        <x:v>199.92</x:v>
      </x:c>
      <x:c r="E32" s="218" t="n">
        <x:f>IF(AND(ISNUMBER(C32),ISNUMBER('Benefits'!F14)),C32*'Benefits'!F14/12,"Not calculated")</x:f>
        <x:v>16993.2</x:v>
      </x:c>
      <x:c r="F32" s="218" t="n">
        <x:f>IF(AND(ISNUMBER(C32),ISNUMBER('Inputs'!D32)),IF('Inputs'!D32&lt;0,"Invalid savings",'Inputs'!D32*C32/12),"Not calculated")</x:f>
        <x:v>0</x:v>
      </x:c>
      <x:c r="G32" s="218" t="n">
        <x:f>IF(COUNT('Inputs'!D10:D11)=2,IF(MIN('Inputs'!D10:D11)&lt;0,"Invalid fee",IF(MOD(A32-1,12)=0,SUM('Inputs'!D10:D11),0)),"Missing fee")</x:f>
        <x:v>0</x:v>
      </x:c>
      <x:c r="H32" s="218" t="n">
        <x:f>IF(AND(COUNT('Inputs'!B13:B16)=4,'Inputs'!B13&gt;=0,'Inputs'!B14&gt;=0,'Inputs'!B14&lt;=1,'Inputs'!B15&gt;=1,'Inputs'!B16&lt;=12,'Inputs'!B15&lt;='Inputs'!B16,MOD('Inputs'!B15,1)=0,MOD('Inputs'!B16,1)=0),IF(A32='Inputs'!B15,'Inputs'!B13*'Inputs'!B14,0)+IF(A32='Inputs'!B16,'Inputs'!B13*(1-'Inputs'!B14),0),"Missing / invalid milestone")</x:f>
        <x:v>0</x:v>
      </x:c>
      <x:c r="I32" s="218" t="n">
        <x:f>IF(AND(ISNUMBER('Inputs'!D12),ISNUMBER('Inputs'!B17),ISNUMBER(H32)),IF(OR('Inputs'!D12&lt;0,'Inputs'!B17&lt;0),"Invalid cost",'Inputs'!D12/12+IF(A32='Inputs'!B15,'Inputs'!B17,0)),"Missing cost")</x:f>
        <x:v>0</x:v>
      </x:c>
      <x:c r="J32" s="221" t="n">
        <x:f>IF(COUNT(G32:I32)=3,SUM(G32:I32),"Not calculated")</x:f>
        <x:v>0</x:v>
      </x:c>
      <x:c r="K32" s="218" t="n">
        <x:f>IF(AND(COUNT('Inputs'!B18:B20)=3,ISNUMBER('Inputs'!D21),ISNUMBER(H32)),IF(OR(MIN('Inputs'!B18:B20)&lt;0,'Inputs'!D21&lt;0),"Invalid hours",('Inputs'!D21+IF(A32='Inputs'!B15,'Inputs'!B18,0)+IF(A32='Inputs'!B16,'Inputs'!B19,0))*'Inputs'!B20),"Missing hours")</x:f>
        <x:v>680</x:v>
      </x:c>
      <x:c r="L32" s="218" t="n">
        <x:f>IF(COUNT(J32:K32)=2,SUM(J32:K32),"Not calculated")</x:f>
        <x:v>680</x:v>
      </x:c>
      <x:c r="M32" s="218" t="n">
        <x:f>IF(AND(ISNUMBER(F32),ISNUMBER(J32)),F32-J32,"Not calculated")</x:f>
        <x:v>0</x:v>
      </x:c>
      <x:c r="N32" s="221" t="n">
        <x:f>IF(COUNT(M$6:M32)=A32,SUM(M$6:M32),"Not calculated")</x:f>
        <x:v>-218400</x:v>
      </x:c>
      <x:c r="O32" s="218" t="n">
        <x:f>IF(AND(COUNT(E32:F32)=2,ISNUMBER(L32),ISNUMBER(T32)),SUM(E32:F32)-T32-L32,"Not calculated")</x:f>
        <x:v>16313.2</x:v>
      </x:c>
      <x:c r="P32" s="221" t="n">
        <x:f>IF(COUNT(O$6:O32)=A32,SUM(O$6:O32),"Not calculated")</x:f>
        <x:v>139120.2</x:v>
      </x:c>
      <x:c r="Q32" s="221" t="n">
        <x:f>IF(AND(ISNUMBER(O32),ISNUMBER('Inputs'!B22)),IF(OR('Inputs'!B22&lt;0,'Inputs'!B22&gt;1),"Invalid rate",O32/(1+'Inputs'!B22)^(A32/12)),"Not calculated")</x:f>
        <x:v>13164.537897278997</x:v>
      </x:c>
      <x:c r="R32" s="72" t="n">
        <x:f>IF(COUNT(N32:N$41)=37-A32,IF(MIN(N32:N$41)&gt;=0,1,0),"Not calculated")</x:f>
        <x:v>0</x:v>
      </x:c>
      <x:c r="S32" s="72" t="n">
        <x:f>IF(COUNT(P32:P$41)=37-A32,IF(MIN(P32:P$41)&gt;=0,1,0),"Not calculated")</x:f>
        <x:v>1</x:v>
      </x:c>
      <x:c r="T32" s="223" t="n">
        <x:f>IF(AND(ISNUMBER(C32),COUNT('Inputs'!D32:D33)=2,ISNUMBER('Benefits'!F14)),IF(OR('Inputs'!D33&lt;0,'Inputs'!D33&gt;'Inputs'!D32,'Inputs'!D33&gt;'Benefits'!F14),"Invalid overlap",'Inputs'!D33*C32/12),"Not calculated")</x:f>
        <x:v>0</x:v>
      </x:c>
    </x:row>
    <x:row r="33" ht="32" customHeight="1">
      <x:c r="A33" s="157" t="n">
        <x:v>28</x:v>
      </x:c>
      <x:c r="B33" s="147" t="n">
        <x:f>IF('Inputs'!B7="","Set start date",IF(AND(ISNUMBER('Inputs'!B7),'Inputs'!B7&gt;0),EDATE('Inputs'!B7,A33-1),"Invalid date"))</x:f>
        <x:v>47178</x:v>
      </x:c>
      <x:c r="C33" s="230" t="n">
        <x:f>IF(ISNUMBER('Inputs'!D23),IF(OR('Inputs'!D23&lt;0,'Inputs'!D23&gt;1),"Invalid ramp",'Inputs'!D23),"Missing ramp")</x:f>
        <x:v>1</x:v>
      </x:c>
      <x:c r="D33" s="227" t="n">
        <x:f>IF(AND(ISNUMBER(C33),ISNUMBER('Benefits'!E14)),C33*'Benefits'!E14/12,"Not calculated")</x:f>
        <x:v>199.92</x:v>
      </x:c>
      <x:c r="E33" s="219" t="n">
        <x:f>IF(AND(ISNUMBER(C33),ISNUMBER('Benefits'!F14)),C33*'Benefits'!F14/12,"Not calculated")</x:f>
        <x:v>16993.2</x:v>
      </x:c>
      <x:c r="F33" s="219" t="n">
        <x:f>IF(AND(ISNUMBER(C33),ISNUMBER('Inputs'!D32)),IF('Inputs'!D32&lt;0,"Invalid savings",'Inputs'!D32*C33/12),"Not calculated")</x:f>
        <x:v>0</x:v>
      </x:c>
      <x:c r="G33" s="219" t="n">
        <x:f>IF(COUNT('Inputs'!D10:D11)=2,IF(MIN('Inputs'!D10:D11)&lt;0,"Invalid fee",IF(MOD(A33-1,12)=0,SUM('Inputs'!D10:D11),0)),"Missing fee")</x:f>
        <x:v>0</x:v>
      </x:c>
      <x:c r="H33" s="219" t="n">
        <x:f>IF(AND(COUNT('Inputs'!B13:B16)=4,'Inputs'!B13&gt;=0,'Inputs'!B14&gt;=0,'Inputs'!B14&lt;=1,'Inputs'!B15&gt;=1,'Inputs'!B16&lt;=12,'Inputs'!B15&lt;='Inputs'!B16,MOD('Inputs'!B15,1)=0,MOD('Inputs'!B16,1)=0),IF(A33='Inputs'!B15,'Inputs'!B13*'Inputs'!B14,0)+IF(A33='Inputs'!B16,'Inputs'!B13*(1-'Inputs'!B14),0),"Missing / invalid milestone")</x:f>
        <x:v>0</x:v>
      </x:c>
      <x:c r="I33" s="219" t="n">
        <x:f>IF(AND(ISNUMBER('Inputs'!D12),ISNUMBER('Inputs'!B17),ISNUMBER(H33)),IF(OR('Inputs'!D12&lt;0,'Inputs'!B17&lt;0),"Invalid cost",'Inputs'!D12/12+IF(A33='Inputs'!B15,'Inputs'!B17,0)),"Missing cost")</x:f>
        <x:v>0</x:v>
      </x:c>
      <x:c r="J33" s="221" t="n">
        <x:f>IF(COUNT(G33:I33)=3,SUM(G33:I33),"Not calculated")</x:f>
        <x:v>0</x:v>
      </x:c>
      <x:c r="K33" s="219" t="n">
        <x:f>IF(AND(COUNT('Inputs'!B18:B20)=3,ISNUMBER('Inputs'!D21),ISNUMBER(H33)),IF(OR(MIN('Inputs'!B18:B20)&lt;0,'Inputs'!D21&lt;0),"Invalid hours",('Inputs'!D21+IF(A33='Inputs'!B15,'Inputs'!B18,0)+IF(A33='Inputs'!B16,'Inputs'!B19,0))*'Inputs'!B20),"Missing hours")</x:f>
        <x:v>680</x:v>
      </x:c>
      <x:c r="L33" s="219" t="n">
        <x:f>IF(COUNT(J33:K33)=2,SUM(J33:K33),"Not calculated")</x:f>
        <x:v>680</x:v>
      </x:c>
      <x:c r="M33" s="219" t="n">
        <x:f>IF(AND(ISNUMBER(F33),ISNUMBER(J33)),F33-J33,"Not calculated")</x:f>
        <x:v>0</x:v>
      </x:c>
      <x:c r="N33" s="221" t="n">
        <x:f>IF(COUNT(M$6:M33)=A33,SUM(M$6:M33),"Not calculated")</x:f>
        <x:v>-218400</x:v>
      </x:c>
      <x:c r="O33" s="219" t="n">
        <x:f>IF(AND(COUNT(E33:F33)=2,ISNUMBER(L33),ISNUMBER(T33)),SUM(E33:F33)-T33-L33,"Not calculated")</x:f>
        <x:v>16313.2</x:v>
      </x:c>
      <x:c r="P33" s="221" t="n">
        <x:f>IF(COUNT(O$6:O33)=A33,SUM(O$6:O33),"Not calculated")</x:f>
        <x:v>155433.40000000002</x:v>
      </x:c>
      <x:c r="Q33" s="221" t="n">
        <x:f>IF(AND(ISNUMBER(O33),ISNUMBER('Inputs'!B22)),IF(OR('Inputs'!B22&lt;0,'Inputs'!B22&gt;1),"Invalid rate",O33/(1+'Inputs'!B22)^(A33/12)),"Not calculated")</x:f>
        <x:v>13060.392493479392</x:v>
      </x:c>
      <x:c r="R33" s="96" t="n">
        <x:f>IF(COUNT(N33:N$41)=37-A33,IF(MIN(N33:N$41)&gt;=0,1,0),"Not calculated")</x:f>
        <x:v>0</x:v>
      </x:c>
      <x:c r="S33" s="96" t="n">
        <x:f>IF(COUNT(P33:P$41)=37-A33,IF(MIN(P33:P$41)&gt;=0,1,0),"Not calculated")</x:f>
        <x:v>1</x:v>
      </x:c>
      <x:c r="T33" s="224" t="n">
        <x:f>IF(AND(ISNUMBER(C33),COUNT('Inputs'!D32:D33)=2,ISNUMBER('Benefits'!F14)),IF(OR('Inputs'!D33&lt;0,'Inputs'!D33&gt;'Inputs'!D32,'Inputs'!D33&gt;'Benefits'!F14),"Invalid overlap",'Inputs'!D33*C33/12),"Not calculated")</x:f>
        <x:v>0</x:v>
      </x:c>
    </x:row>
    <x:row r="34" ht="32" customHeight="1">
      <x:c r="A34" s="156" t="n">
        <x:v>29</x:v>
      </x:c>
      <x:c r="B34" s="140" t="n">
        <x:f>IF('Inputs'!B7="","Set start date",IF(AND(ISNUMBER('Inputs'!B7),'Inputs'!B7&gt;0),EDATE('Inputs'!B7,A34-1),"Invalid date"))</x:f>
        <x:v>47209</x:v>
      </x:c>
      <x:c r="C34" s="229" t="n">
        <x:f>IF(ISNUMBER('Inputs'!D23),IF(OR('Inputs'!D23&lt;0,'Inputs'!D23&gt;1),"Invalid ramp",'Inputs'!D23),"Missing ramp")</x:f>
        <x:v>1</x:v>
      </x:c>
      <x:c r="D34" s="226" t="n">
        <x:f>IF(AND(ISNUMBER(C34),ISNUMBER('Benefits'!E14)),C34*'Benefits'!E14/12,"Not calculated")</x:f>
        <x:v>199.92</x:v>
      </x:c>
      <x:c r="E34" s="218" t="n">
        <x:f>IF(AND(ISNUMBER(C34),ISNUMBER('Benefits'!F14)),C34*'Benefits'!F14/12,"Not calculated")</x:f>
        <x:v>16993.2</x:v>
      </x:c>
      <x:c r="F34" s="218" t="n">
        <x:f>IF(AND(ISNUMBER(C34),ISNUMBER('Inputs'!D32)),IF('Inputs'!D32&lt;0,"Invalid savings",'Inputs'!D32*C34/12),"Not calculated")</x:f>
        <x:v>0</x:v>
      </x:c>
      <x:c r="G34" s="218" t="n">
        <x:f>IF(COUNT('Inputs'!D10:D11)=2,IF(MIN('Inputs'!D10:D11)&lt;0,"Invalid fee",IF(MOD(A34-1,12)=0,SUM('Inputs'!D10:D11),0)),"Missing fee")</x:f>
        <x:v>0</x:v>
      </x:c>
      <x:c r="H34" s="218" t="n">
        <x:f>IF(AND(COUNT('Inputs'!B13:B16)=4,'Inputs'!B13&gt;=0,'Inputs'!B14&gt;=0,'Inputs'!B14&lt;=1,'Inputs'!B15&gt;=1,'Inputs'!B16&lt;=12,'Inputs'!B15&lt;='Inputs'!B16,MOD('Inputs'!B15,1)=0,MOD('Inputs'!B16,1)=0),IF(A34='Inputs'!B15,'Inputs'!B13*'Inputs'!B14,0)+IF(A34='Inputs'!B16,'Inputs'!B13*(1-'Inputs'!B14),0),"Missing / invalid milestone")</x:f>
        <x:v>0</x:v>
      </x:c>
      <x:c r="I34" s="218" t="n">
        <x:f>IF(AND(ISNUMBER('Inputs'!D12),ISNUMBER('Inputs'!B17),ISNUMBER(H34)),IF(OR('Inputs'!D12&lt;0,'Inputs'!B17&lt;0),"Invalid cost",'Inputs'!D12/12+IF(A34='Inputs'!B15,'Inputs'!B17,0)),"Missing cost")</x:f>
        <x:v>0</x:v>
      </x:c>
      <x:c r="J34" s="221" t="n">
        <x:f>IF(COUNT(G34:I34)=3,SUM(G34:I34),"Not calculated")</x:f>
        <x:v>0</x:v>
      </x:c>
      <x:c r="K34" s="218" t="n">
        <x:f>IF(AND(COUNT('Inputs'!B18:B20)=3,ISNUMBER('Inputs'!D21),ISNUMBER(H34)),IF(OR(MIN('Inputs'!B18:B20)&lt;0,'Inputs'!D21&lt;0),"Invalid hours",('Inputs'!D21+IF(A34='Inputs'!B15,'Inputs'!B18,0)+IF(A34='Inputs'!B16,'Inputs'!B19,0))*'Inputs'!B20),"Missing hours")</x:f>
        <x:v>680</x:v>
      </x:c>
      <x:c r="L34" s="218" t="n">
        <x:f>IF(COUNT(J34:K34)=2,SUM(J34:K34),"Not calculated")</x:f>
        <x:v>680</x:v>
      </x:c>
      <x:c r="M34" s="218" t="n">
        <x:f>IF(AND(ISNUMBER(F34),ISNUMBER(J34)),F34-J34,"Not calculated")</x:f>
        <x:v>0</x:v>
      </x:c>
      <x:c r="N34" s="221" t="n">
        <x:f>IF(COUNT(M$6:M34)=A34,SUM(M$6:M34),"Not calculated")</x:f>
        <x:v>-218400</x:v>
      </x:c>
      <x:c r="O34" s="218" t="n">
        <x:f>IF(AND(COUNT(E34:F34)=2,ISNUMBER(L34),ISNUMBER(T34)),SUM(E34:F34)-T34-L34,"Not calculated")</x:f>
        <x:v>16313.2</x:v>
      </x:c>
      <x:c r="P34" s="221" t="n">
        <x:f>IF(COUNT(O$6:O34)=A34,SUM(O$6:O34),"Not calculated")</x:f>
        <x:v>171746.60000000003</x:v>
      </x:c>
      <x:c r="Q34" s="221" t="n">
        <x:f>IF(AND(ISNUMBER(O34),ISNUMBER('Inputs'!B22)),IF(OR('Inputs'!B22&lt;0,'Inputs'!B22&gt;1),"Invalid rate",O34/(1+'Inputs'!B22)^(A34/12)),"Not calculated")</x:f>
        <x:v>12957.070989858981</x:v>
      </x:c>
      <x:c r="R34" s="72" t="n">
        <x:f>IF(COUNT(N34:N$41)=37-A34,IF(MIN(N34:N$41)&gt;=0,1,0),"Not calculated")</x:f>
        <x:v>0</x:v>
      </x:c>
      <x:c r="S34" s="72" t="n">
        <x:f>IF(COUNT(P34:P$41)=37-A34,IF(MIN(P34:P$41)&gt;=0,1,0),"Not calculated")</x:f>
        <x:v>1</x:v>
      </x:c>
      <x:c r="T34" s="223" t="n">
        <x:f>IF(AND(ISNUMBER(C34),COUNT('Inputs'!D32:D33)=2,ISNUMBER('Benefits'!F14)),IF(OR('Inputs'!D33&lt;0,'Inputs'!D33&gt;'Inputs'!D32,'Inputs'!D33&gt;'Benefits'!F14),"Invalid overlap",'Inputs'!D33*C34/12),"Not calculated")</x:f>
        <x:v>0</x:v>
      </x:c>
    </x:row>
    <x:row r="35" ht="32" customHeight="1">
      <x:c r="A35" s="157" t="n">
        <x:v>30</x:v>
      </x:c>
      <x:c r="B35" s="147" t="n">
        <x:f>IF('Inputs'!B7="","Set start date",IF(AND(ISNUMBER('Inputs'!B7),'Inputs'!B7&gt;0),EDATE('Inputs'!B7,A35-1),"Invalid date"))</x:f>
        <x:v>47239</x:v>
      </x:c>
      <x:c r="C35" s="230" t="n">
        <x:f>IF(ISNUMBER('Inputs'!D23),IF(OR('Inputs'!D23&lt;0,'Inputs'!D23&gt;1),"Invalid ramp",'Inputs'!D23),"Missing ramp")</x:f>
        <x:v>1</x:v>
      </x:c>
      <x:c r="D35" s="227" t="n">
        <x:f>IF(AND(ISNUMBER(C35),ISNUMBER('Benefits'!E14)),C35*'Benefits'!E14/12,"Not calculated")</x:f>
        <x:v>199.92</x:v>
      </x:c>
      <x:c r="E35" s="219" t="n">
        <x:f>IF(AND(ISNUMBER(C35),ISNUMBER('Benefits'!F14)),C35*'Benefits'!F14/12,"Not calculated")</x:f>
        <x:v>16993.2</x:v>
      </x:c>
      <x:c r="F35" s="219" t="n">
        <x:f>IF(AND(ISNUMBER(C35),ISNUMBER('Inputs'!D32)),IF('Inputs'!D32&lt;0,"Invalid savings",'Inputs'!D32*C35/12),"Not calculated")</x:f>
        <x:v>0</x:v>
      </x:c>
      <x:c r="G35" s="219" t="n">
        <x:f>IF(COUNT('Inputs'!D10:D11)=2,IF(MIN('Inputs'!D10:D11)&lt;0,"Invalid fee",IF(MOD(A35-1,12)=0,SUM('Inputs'!D10:D11),0)),"Missing fee")</x:f>
        <x:v>0</x:v>
      </x:c>
      <x:c r="H35" s="219" t="n">
        <x:f>IF(AND(COUNT('Inputs'!B13:B16)=4,'Inputs'!B13&gt;=0,'Inputs'!B14&gt;=0,'Inputs'!B14&lt;=1,'Inputs'!B15&gt;=1,'Inputs'!B16&lt;=12,'Inputs'!B15&lt;='Inputs'!B16,MOD('Inputs'!B15,1)=0,MOD('Inputs'!B16,1)=0),IF(A35='Inputs'!B15,'Inputs'!B13*'Inputs'!B14,0)+IF(A35='Inputs'!B16,'Inputs'!B13*(1-'Inputs'!B14),0),"Missing / invalid milestone")</x:f>
        <x:v>0</x:v>
      </x:c>
      <x:c r="I35" s="219" t="n">
        <x:f>IF(AND(ISNUMBER('Inputs'!D12),ISNUMBER('Inputs'!B17),ISNUMBER(H35)),IF(OR('Inputs'!D12&lt;0,'Inputs'!B17&lt;0),"Invalid cost",'Inputs'!D12/12+IF(A35='Inputs'!B15,'Inputs'!B17,0)),"Missing cost")</x:f>
        <x:v>0</x:v>
      </x:c>
      <x:c r="J35" s="221" t="n">
        <x:f>IF(COUNT(G35:I35)=3,SUM(G35:I35),"Not calculated")</x:f>
        <x:v>0</x:v>
      </x:c>
      <x:c r="K35" s="219" t="n">
        <x:f>IF(AND(COUNT('Inputs'!B18:B20)=3,ISNUMBER('Inputs'!D21),ISNUMBER(H35)),IF(OR(MIN('Inputs'!B18:B20)&lt;0,'Inputs'!D21&lt;0),"Invalid hours",('Inputs'!D21+IF(A35='Inputs'!B15,'Inputs'!B18,0)+IF(A35='Inputs'!B16,'Inputs'!B19,0))*'Inputs'!B20),"Missing hours")</x:f>
        <x:v>680</x:v>
      </x:c>
      <x:c r="L35" s="219" t="n">
        <x:f>IF(COUNT(J35:K35)=2,SUM(J35:K35),"Not calculated")</x:f>
        <x:v>680</x:v>
      </x:c>
      <x:c r="M35" s="219" t="n">
        <x:f>IF(AND(ISNUMBER(F35),ISNUMBER(J35)),F35-J35,"Not calculated")</x:f>
        <x:v>0</x:v>
      </x:c>
      <x:c r="N35" s="221" t="n">
        <x:f>IF(COUNT(M$6:M35)=A35,SUM(M$6:M35),"Not calculated")</x:f>
        <x:v>-218400</x:v>
      </x:c>
      <x:c r="O35" s="219" t="n">
        <x:f>IF(AND(COUNT(E35:F35)=2,ISNUMBER(L35),ISNUMBER(T35)),SUM(E35:F35)-T35-L35,"Not calculated")</x:f>
        <x:v>16313.2</x:v>
      </x:c>
      <x:c r="P35" s="221" t="n">
        <x:f>IF(COUNT(O$6:O35)=A35,SUM(O$6:O35),"Not calculated")</x:f>
        <x:v>188059.80000000005</x:v>
      </x:c>
      <x:c r="Q35" s="221" t="n">
        <x:f>IF(AND(ISNUMBER(O35),ISNUMBER('Inputs'!B22)),IF(OR('Inputs'!B22&lt;0,'Inputs'!B22&gt;1),"Invalid rate",O35/(1+'Inputs'!B22)^(A35/12)),"Not calculated")</x:f>
        <x:v>12854.566868496855</x:v>
      </x:c>
      <x:c r="R35" s="96" t="n">
        <x:f>IF(COUNT(N35:N$41)=37-A35,IF(MIN(N35:N$41)&gt;=0,1,0),"Not calculated")</x:f>
        <x:v>0</x:v>
      </x:c>
      <x:c r="S35" s="96" t="n">
        <x:f>IF(COUNT(P35:P$41)=37-A35,IF(MIN(P35:P$41)&gt;=0,1,0),"Not calculated")</x:f>
        <x:v>1</x:v>
      </x:c>
      <x:c r="T35" s="224" t="n">
        <x:f>IF(AND(ISNUMBER(C35),COUNT('Inputs'!D32:D33)=2,ISNUMBER('Benefits'!F14)),IF(OR('Inputs'!D33&lt;0,'Inputs'!D33&gt;'Inputs'!D32,'Inputs'!D33&gt;'Benefits'!F14),"Invalid overlap",'Inputs'!D33*C35/12),"Not calculated")</x:f>
        <x:v>0</x:v>
      </x:c>
    </x:row>
    <x:row r="36" ht="32" customHeight="1">
      <x:c r="A36" s="156" t="n">
        <x:v>31</x:v>
      </x:c>
      <x:c r="B36" s="140" t="n">
        <x:f>IF('Inputs'!B7="","Set start date",IF(AND(ISNUMBER('Inputs'!B7),'Inputs'!B7&gt;0),EDATE('Inputs'!B7,A36-1),"Invalid date"))</x:f>
        <x:v>47270</x:v>
      </x:c>
      <x:c r="C36" s="229" t="n">
        <x:f>IF(ISNUMBER('Inputs'!D23),IF(OR('Inputs'!D23&lt;0,'Inputs'!D23&gt;1),"Invalid ramp",'Inputs'!D23),"Missing ramp")</x:f>
        <x:v>1</x:v>
      </x:c>
      <x:c r="D36" s="226" t="n">
        <x:f>IF(AND(ISNUMBER(C36),ISNUMBER('Benefits'!E14)),C36*'Benefits'!E14/12,"Not calculated")</x:f>
        <x:v>199.92</x:v>
      </x:c>
      <x:c r="E36" s="218" t="n">
        <x:f>IF(AND(ISNUMBER(C36),ISNUMBER('Benefits'!F14)),C36*'Benefits'!F14/12,"Not calculated")</x:f>
        <x:v>16993.2</x:v>
      </x:c>
      <x:c r="F36" s="218" t="n">
        <x:f>IF(AND(ISNUMBER(C36),ISNUMBER('Inputs'!D32)),IF('Inputs'!D32&lt;0,"Invalid savings",'Inputs'!D32*C36/12),"Not calculated")</x:f>
        <x:v>0</x:v>
      </x:c>
      <x:c r="G36" s="218" t="n">
        <x:f>IF(COUNT('Inputs'!D10:D11)=2,IF(MIN('Inputs'!D10:D11)&lt;0,"Invalid fee",IF(MOD(A36-1,12)=0,SUM('Inputs'!D10:D11),0)),"Missing fee")</x:f>
        <x:v>0</x:v>
      </x:c>
      <x:c r="H36" s="218" t="n">
        <x:f>IF(AND(COUNT('Inputs'!B13:B16)=4,'Inputs'!B13&gt;=0,'Inputs'!B14&gt;=0,'Inputs'!B14&lt;=1,'Inputs'!B15&gt;=1,'Inputs'!B16&lt;=12,'Inputs'!B15&lt;='Inputs'!B16,MOD('Inputs'!B15,1)=0,MOD('Inputs'!B16,1)=0),IF(A36='Inputs'!B15,'Inputs'!B13*'Inputs'!B14,0)+IF(A36='Inputs'!B16,'Inputs'!B13*(1-'Inputs'!B14),0),"Missing / invalid milestone")</x:f>
        <x:v>0</x:v>
      </x:c>
      <x:c r="I36" s="218" t="n">
        <x:f>IF(AND(ISNUMBER('Inputs'!D12),ISNUMBER('Inputs'!B17),ISNUMBER(H36)),IF(OR('Inputs'!D12&lt;0,'Inputs'!B17&lt;0),"Invalid cost",'Inputs'!D12/12+IF(A36='Inputs'!B15,'Inputs'!B17,0)),"Missing cost")</x:f>
        <x:v>0</x:v>
      </x:c>
      <x:c r="J36" s="221" t="n">
        <x:f>IF(COUNT(G36:I36)=3,SUM(G36:I36),"Not calculated")</x:f>
        <x:v>0</x:v>
      </x:c>
      <x:c r="K36" s="218" t="n">
        <x:f>IF(AND(COUNT('Inputs'!B18:B20)=3,ISNUMBER('Inputs'!D21),ISNUMBER(H36)),IF(OR(MIN('Inputs'!B18:B20)&lt;0,'Inputs'!D21&lt;0),"Invalid hours",('Inputs'!D21+IF(A36='Inputs'!B15,'Inputs'!B18,0)+IF(A36='Inputs'!B16,'Inputs'!B19,0))*'Inputs'!B20),"Missing hours")</x:f>
        <x:v>680</x:v>
      </x:c>
      <x:c r="L36" s="218" t="n">
        <x:f>IF(COUNT(J36:K36)=2,SUM(J36:K36),"Not calculated")</x:f>
        <x:v>680</x:v>
      </x:c>
      <x:c r="M36" s="218" t="n">
        <x:f>IF(AND(ISNUMBER(F36),ISNUMBER(J36)),F36-J36,"Not calculated")</x:f>
        <x:v>0</x:v>
      </x:c>
      <x:c r="N36" s="221" t="n">
        <x:f>IF(COUNT(M$6:M36)=A36,SUM(M$6:M36),"Not calculated")</x:f>
        <x:v>-218400</x:v>
      </x:c>
      <x:c r="O36" s="218" t="n">
        <x:f>IF(AND(COUNT(E36:F36)=2,ISNUMBER(L36),ISNUMBER(T36)),SUM(E36:F36)-T36-L36,"Not calculated")</x:f>
        <x:v>16313.2</x:v>
      </x:c>
      <x:c r="P36" s="221" t="n">
        <x:f>IF(COUNT(O$6:O36)=A36,SUM(O$6:O36),"Not calculated")</x:f>
        <x:v>204373.00000000006</x:v>
      </x:c>
      <x:c r="Q36" s="221" t="n">
        <x:f>IF(AND(ISNUMBER(O36),ISNUMBER('Inputs'!B22)),IF(OR('Inputs'!B22&lt;0,'Inputs'!B22&gt;1),"Invalid rate",O36/(1+'Inputs'!B22)^(A36/12)),"Not calculated")</x:f>
        <x:v>12752.87366303574</x:v>
      </x:c>
      <x:c r="R36" s="72" t="n">
        <x:f>IF(COUNT(N36:N$41)=37-A36,IF(MIN(N36:N$41)&gt;=0,1,0),"Not calculated")</x:f>
        <x:v>0</x:v>
      </x:c>
      <x:c r="S36" s="72" t="n">
        <x:f>IF(COUNT(P36:P$41)=37-A36,IF(MIN(P36:P$41)&gt;=0,1,0),"Not calculated")</x:f>
        <x:v>1</x:v>
      </x:c>
      <x:c r="T36" s="223" t="n">
        <x:f>IF(AND(ISNUMBER(C36),COUNT('Inputs'!D32:D33)=2,ISNUMBER('Benefits'!F14)),IF(OR('Inputs'!D33&lt;0,'Inputs'!D33&gt;'Inputs'!D32,'Inputs'!D33&gt;'Benefits'!F14),"Invalid overlap",'Inputs'!D33*C36/12),"Not calculated")</x:f>
        <x:v>0</x:v>
      </x:c>
    </x:row>
    <x:row r="37" ht="32" customHeight="1">
      <x:c r="A37" s="157" t="n">
        <x:v>32</x:v>
      </x:c>
      <x:c r="B37" s="147" t="n">
        <x:f>IF('Inputs'!B7="","Set start date",IF(AND(ISNUMBER('Inputs'!B7),'Inputs'!B7&gt;0),EDATE('Inputs'!B7,A37-1),"Invalid date"))</x:f>
        <x:v>47300</x:v>
      </x:c>
      <x:c r="C37" s="230" t="n">
        <x:f>IF(ISNUMBER('Inputs'!D23),IF(OR('Inputs'!D23&lt;0,'Inputs'!D23&gt;1),"Invalid ramp",'Inputs'!D23),"Missing ramp")</x:f>
        <x:v>1</x:v>
      </x:c>
      <x:c r="D37" s="227" t="n">
        <x:f>IF(AND(ISNUMBER(C37),ISNUMBER('Benefits'!E14)),C37*'Benefits'!E14/12,"Not calculated")</x:f>
        <x:v>199.92</x:v>
      </x:c>
      <x:c r="E37" s="219" t="n">
        <x:f>IF(AND(ISNUMBER(C37),ISNUMBER('Benefits'!F14)),C37*'Benefits'!F14/12,"Not calculated")</x:f>
        <x:v>16993.2</x:v>
      </x:c>
      <x:c r="F37" s="219" t="n">
        <x:f>IF(AND(ISNUMBER(C37),ISNUMBER('Inputs'!D32)),IF('Inputs'!D32&lt;0,"Invalid savings",'Inputs'!D32*C37/12),"Not calculated")</x:f>
        <x:v>0</x:v>
      </x:c>
      <x:c r="G37" s="219" t="n">
        <x:f>IF(COUNT('Inputs'!D10:D11)=2,IF(MIN('Inputs'!D10:D11)&lt;0,"Invalid fee",IF(MOD(A37-1,12)=0,SUM('Inputs'!D10:D11),0)),"Missing fee")</x:f>
        <x:v>0</x:v>
      </x:c>
      <x:c r="H37" s="219" t="n">
        <x:f>IF(AND(COUNT('Inputs'!B13:B16)=4,'Inputs'!B13&gt;=0,'Inputs'!B14&gt;=0,'Inputs'!B14&lt;=1,'Inputs'!B15&gt;=1,'Inputs'!B16&lt;=12,'Inputs'!B15&lt;='Inputs'!B16,MOD('Inputs'!B15,1)=0,MOD('Inputs'!B16,1)=0),IF(A37='Inputs'!B15,'Inputs'!B13*'Inputs'!B14,0)+IF(A37='Inputs'!B16,'Inputs'!B13*(1-'Inputs'!B14),0),"Missing / invalid milestone")</x:f>
        <x:v>0</x:v>
      </x:c>
      <x:c r="I37" s="219" t="n">
        <x:f>IF(AND(ISNUMBER('Inputs'!D12),ISNUMBER('Inputs'!B17),ISNUMBER(H37)),IF(OR('Inputs'!D12&lt;0,'Inputs'!B17&lt;0),"Invalid cost",'Inputs'!D12/12+IF(A37='Inputs'!B15,'Inputs'!B17,0)),"Missing cost")</x:f>
        <x:v>0</x:v>
      </x:c>
      <x:c r="J37" s="221" t="n">
        <x:f>IF(COUNT(G37:I37)=3,SUM(G37:I37),"Not calculated")</x:f>
        <x:v>0</x:v>
      </x:c>
      <x:c r="K37" s="219" t="n">
        <x:f>IF(AND(COUNT('Inputs'!B18:B20)=3,ISNUMBER('Inputs'!D21),ISNUMBER(H37)),IF(OR(MIN('Inputs'!B18:B20)&lt;0,'Inputs'!D21&lt;0),"Invalid hours",('Inputs'!D21+IF(A37='Inputs'!B15,'Inputs'!B18,0)+IF(A37='Inputs'!B16,'Inputs'!B19,0))*'Inputs'!B20),"Missing hours")</x:f>
        <x:v>680</x:v>
      </x:c>
      <x:c r="L37" s="219" t="n">
        <x:f>IF(COUNT(J37:K37)=2,SUM(J37:K37),"Not calculated")</x:f>
        <x:v>680</x:v>
      </x:c>
      <x:c r="M37" s="219" t="n">
        <x:f>IF(AND(ISNUMBER(F37),ISNUMBER(J37)),F37-J37,"Not calculated")</x:f>
        <x:v>0</x:v>
      </x:c>
      <x:c r="N37" s="221" t="n">
        <x:f>IF(COUNT(M$6:M37)=A37,SUM(M$6:M37),"Not calculated")</x:f>
        <x:v>-218400</x:v>
      </x:c>
      <x:c r="O37" s="219" t="n">
        <x:f>IF(AND(COUNT(E37:F37)=2,ISNUMBER(L37),ISNUMBER(T37)),SUM(E37:F37)-T37-L37,"Not calculated")</x:f>
        <x:v>16313.2</x:v>
      </x:c>
      <x:c r="P37" s="221" t="n">
        <x:f>IF(COUNT(O$6:O37)=A37,SUM(O$6:O37),"Not calculated")</x:f>
        <x:v>220686.20000000007</x:v>
      </x:c>
      <x:c r="Q37" s="221" t="n">
        <x:f>IF(AND(ISNUMBER(O37),ISNUMBER('Inputs'!B22)),IF(OR('Inputs'!B22&lt;0,'Inputs'!B22&gt;1),"Invalid rate",O37/(1+'Inputs'!B22)^(A37/12)),"Not calculated")</x:f>
        <x:v>12651.984958274084</x:v>
      </x:c>
      <x:c r="R37" s="96" t="n">
        <x:f>IF(COUNT(N37:N$41)=37-A37,IF(MIN(N37:N$41)&gt;=0,1,0),"Not calculated")</x:f>
        <x:v>0</x:v>
      </x:c>
      <x:c r="S37" s="96" t="n">
        <x:f>IF(COUNT(P37:P$41)=37-A37,IF(MIN(P37:P$41)&gt;=0,1,0),"Not calculated")</x:f>
        <x:v>1</x:v>
      </x:c>
      <x:c r="T37" s="224" t="n">
        <x:f>IF(AND(ISNUMBER(C37),COUNT('Inputs'!D32:D33)=2,ISNUMBER('Benefits'!F14)),IF(OR('Inputs'!D33&lt;0,'Inputs'!D33&gt;'Inputs'!D32,'Inputs'!D33&gt;'Benefits'!F14),"Invalid overlap",'Inputs'!D33*C37/12),"Not calculated")</x:f>
        <x:v>0</x:v>
      </x:c>
    </x:row>
    <x:row r="38" ht="32" customHeight="1">
      <x:c r="A38" s="156" t="n">
        <x:v>33</x:v>
      </x:c>
      <x:c r="B38" s="140" t="n">
        <x:f>IF('Inputs'!B7="","Set start date",IF(AND(ISNUMBER('Inputs'!B7),'Inputs'!B7&gt;0),EDATE('Inputs'!B7,A38-1),"Invalid date"))</x:f>
        <x:v>47331</x:v>
      </x:c>
      <x:c r="C38" s="229" t="n">
        <x:f>IF(ISNUMBER('Inputs'!D23),IF(OR('Inputs'!D23&lt;0,'Inputs'!D23&gt;1),"Invalid ramp",'Inputs'!D23),"Missing ramp")</x:f>
        <x:v>1</x:v>
      </x:c>
      <x:c r="D38" s="226" t="n">
        <x:f>IF(AND(ISNUMBER(C38),ISNUMBER('Benefits'!E14)),C38*'Benefits'!E14/12,"Not calculated")</x:f>
        <x:v>199.92</x:v>
      </x:c>
      <x:c r="E38" s="218" t="n">
        <x:f>IF(AND(ISNUMBER(C38),ISNUMBER('Benefits'!F14)),C38*'Benefits'!F14/12,"Not calculated")</x:f>
        <x:v>16993.2</x:v>
      </x:c>
      <x:c r="F38" s="218" t="n">
        <x:f>IF(AND(ISNUMBER(C38),ISNUMBER('Inputs'!D32)),IF('Inputs'!D32&lt;0,"Invalid savings",'Inputs'!D32*C38/12),"Not calculated")</x:f>
        <x:v>0</x:v>
      </x:c>
      <x:c r="G38" s="218" t="n">
        <x:f>IF(COUNT('Inputs'!D10:D11)=2,IF(MIN('Inputs'!D10:D11)&lt;0,"Invalid fee",IF(MOD(A38-1,12)=0,SUM('Inputs'!D10:D11),0)),"Missing fee")</x:f>
        <x:v>0</x:v>
      </x:c>
      <x:c r="H38" s="218" t="n">
        <x:f>IF(AND(COUNT('Inputs'!B13:B16)=4,'Inputs'!B13&gt;=0,'Inputs'!B14&gt;=0,'Inputs'!B14&lt;=1,'Inputs'!B15&gt;=1,'Inputs'!B16&lt;=12,'Inputs'!B15&lt;='Inputs'!B16,MOD('Inputs'!B15,1)=0,MOD('Inputs'!B16,1)=0),IF(A38='Inputs'!B15,'Inputs'!B13*'Inputs'!B14,0)+IF(A38='Inputs'!B16,'Inputs'!B13*(1-'Inputs'!B14),0),"Missing / invalid milestone")</x:f>
        <x:v>0</x:v>
      </x:c>
      <x:c r="I38" s="218" t="n">
        <x:f>IF(AND(ISNUMBER('Inputs'!D12),ISNUMBER('Inputs'!B17),ISNUMBER(H38)),IF(OR('Inputs'!D12&lt;0,'Inputs'!B17&lt;0),"Invalid cost",'Inputs'!D12/12+IF(A38='Inputs'!B15,'Inputs'!B17,0)),"Missing cost")</x:f>
        <x:v>0</x:v>
      </x:c>
      <x:c r="J38" s="221" t="n">
        <x:f>IF(COUNT(G38:I38)=3,SUM(G38:I38),"Not calculated")</x:f>
        <x:v>0</x:v>
      </x:c>
      <x:c r="K38" s="218" t="n">
        <x:f>IF(AND(COUNT('Inputs'!B18:B20)=3,ISNUMBER('Inputs'!D21),ISNUMBER(H38)),IF(OR(MIN('Inputs'!B18:B20)&lt;0,'Inputs'!D21&lt;0),"Invalid hours",('Inputs'!D21+IF(A38='Inputs'!B15,'Inputs'!B18,0)+IF(A38='Inputs'!B16,'Inputs'!B19,0))*'Inputs'!B20),"Missing hours")</x:f>
        <x:v>680</x:v>
      </x:c>
      <x:c r="L38" s="218" t="n">
        <x:f>IF(COUNT(J38:K38)=2,SUM(J38:K38),"Not calculated")</x:f>
        <x:v>680</x:v>
      </x:c>
      <x:c r="M38" s="218" t="n">
        <x:f>IF(AND(ISNUMBER(F38),ISNUMBER(J38)),F38-J38,"Not calculated")</x:f>
        <x:v>0</x:v>
      </x:c>
      <x:c r="N38" s="221" t="n">
        <x:f>IF(COUNT(M$6:M38)=A38,SUM(M$6:M38),"Not calculated")</x:f>
        <x:v>-218400</x:v>
      </x:c>
      <x:c r="O38" s="218" t="n">
        <x:f>IF(AND(COUNT(E38:F38)=2,ISNUMBER(L38),ISNUMBER(T38)),SUM(E38:F38)-T38-L38,"Not calculated")</x:f>
        <x:v>16313.2</x:v>
      </x:c>
      <x:c r="P38" s="221" t="n">
        <x:f>IF(COUNT(O$6:O38)=A38,SUM(O$6:O38),"Not calculated")</x:f>
        <x:v>236999.40000000008</x:v>
      </x:c>
      <x:c r="Q38" s="221" t="n">
        <x:f>IF(AND(ISNUMBER(O38),ISNUMBER('Inputs'!B22)),IF(OR('Inputs'!B22&lt;0,'Inputs'!B22&gt;1),"Invalid rate",O38/(1+'Inputs'!B22)^(A38/12)),"Not calculated")</x:f>
        <x:v>12551.894389761357</x:v>
      </x:c>
      <x:c r="R38" s="72" t="n">
        <x:f>IF(COUNT(N38:N$41)=37-A38,IF(MIN(N38:N$41)&gt;=0,1,0),"Not calculated")</x:f>
        <x:v>0</x:v>
      </x:c>
      <x:c r="S38" s="72" t="n">
        <x:f>IF(COUNT(P38:P$41)=37-A38,IF(MIN(P38:P$41)&gt;=0,1,0),"Not calculated")</x:f>
        <x:v>1</x:v>
      </x:c>
      <x:c r="T38" s="223" t="n">
        <x:f>IF(AND(ISNUMBER(C38),COUNT('Inputs'!D32:D33)=2,ISNUMBER('Benefits'!F14)),IF(OR('Inputs'!D33&lt;0,'Inputs'!D33&gt;'Inputs'!D32,'Inputs'!D33&gt;'Benefits'!F14),"Invalid overlap",'Inputs'!D33*C38/12),"Not calculated")</x:f>
        <x:v>0</x:v>
      </x:c>
    </x:row>
    <x:row r="39" ht="32" customHeight="1">
      <x:c r="A39" s="157" t="n">
        <x:v>34</x:v>
      </x:c>
      <x:c r="B39" s="147" t="n">
        <x:f>IF('Inputs'!B7="","Set start date",IF(AND(ISNUMBER('Inputs'!B7),'Inputs'!B7&gt;0),EDATE('Inputs'!B7,A39-1),"Invalid date"))</x:f>
        <x:v>47362</x:v>
      </x:c>
      <x:c r="C39" s="230" t="n">
        <x:f>IF(ISNUMBER('Inputs'!D23),IF(OR('Inputs'!D23&lt;0,'Inputs'!D23&gt;1),"Invalid ramp",'Inputs'!D23),"Missing ramp")</x:f>
        <x:v>1</x:v>
      </x:c>
      <x:c r="D39" s="227" t="n">
        <x:f>IF(AND(ISNUMBER(C39),ISNUMBER('Benefits'!E14)),C39*'Benefits'!E14/12,"Not calculated")</x:f>
        <x:v>199.92</x:v>
      </x:c>
      <x:c r="E39" s="219" t="n">
        <x:f>IF(AND(ISNUMBER(C39),ISNUMBER('Benefits'!F14)),C39*'Benefits'!F14/12,"Not calculated")</x:f>
        <x:v>16993.2</x:v>
      </x:c>
      <x:c r="F39" s="219" t="n">
        <x:f>IF(AND(ISNUMBER(C39),ISNUMBER('Inputs'!D32)),IF('Inputs'!D32&lt;0,"Invalid savings",'Inputs'!D32*C39/12),"Not calculated")</x:f>
        <x:v>0</x:v>
      </x:c>
      <x:c r="G39" s="219" t="n">
        <x:f>IF(COUNT('Inputs'!D10:D11)=2,IF(MIN('Inputs'!D10:D11)&lt;0,"Invalid fee",IF(MOD(A39-1,12)=0,SUM('Inputs'!D10:D11),0)),"Missing fee")</x:f>
        <x:v>0</x:v>
      </x:c>
      <x:c r="H39" s="219" t="n">
        <x:f>IF(AND(COUNT('Inputs'!B13:B16)=4,'Inputs'!B13&gt;=0,'Inputs'!B14&gt;=0,'Inputs'!B14&lt;=1,'Inputs'!B15&gt;=1,'Inputs'!B16&lt;=12,'Inputs'!B15&lt;='Inputs'!B16,MOD('Inputs'!B15,1)=0,MOD('Inputs'!B16,1)=0),IF(A39='Inputs'!B15,'Inputs'!B13*'Inputs'!B14,0)+IF(A39='Inputs'!B16,'Inputs'!B13*(1-'Inputs'!B14),0),"Missing / invalid milestone")</x:f>
        <x:v>0</x:v>
      </x:c>
      <x:c r="I39" s="219" t="n">
        <x:f>IF(AND(ISNUMBER('Inputs'!D12),ISNUMBER('Inputs'!B17),ISNUMBER(H39)),IF(OR('Inputs'!D12&lt;0,'Inputs'!B17&lt;0),"Invalid cost",'Inputs'!D12/12+IF(A39='Inputs'!B15,'Inputs'!B17,0)),"Missing cost")</x:f>
        <x:v>0</x:v>
      </x:c>
      <x:c r="J39" s="221" t="n">
        <x:f>IF(COUNT(G39:I39)=3,SUM(G39:I39),"Not calculated")</x:f>
        <x:v>0</x:v>
      </x:c>
      <x:c r="K39" s="219" t="n">
        <x:f>IF(AND(COUNT('Inputs'!B18:B20)=3,ISNUMBER('Inputs'!D21),ISNUMBER(H39)),IF(OR(MIN('Inputs'!B18:B20)&lt;0,'Inputs'!D21&lt;0),"Invalid hours",('Inputs'!D21+IF(A39='Inputs'!B15,'Inputs'!B18,0)+IF(A39='Inputs'!B16,'Inputs'!B19,0))*'Inputs'!B20),"Missing hours")</x:f>
        <x:v>680</x:v>
      </x:c>
      <x:c r="L39" s="219" t="n">
        <x:f>IF(COUNT(J39:K39)=2,SUM(J39:K39),"Not calculated")</x:f>
        <x:v>680</x:v>
      </x:c>
      <x:c r="M39" s="219" t="n">
        <x:f>IF(AND(ISNUMBER(F39),ISNUMBER(J39)),F39-J39,"Not calculated")</x:f>
        <x:v>0</x:v>
      </x:c>
      <x:c r="N39" s="221" t="n">
        <x:f>IF(COUNT(M$6:M39)=A39,SUM(M$6:M39),"Not calculated")</x:f>
        <x:v>-218400</x:v>
      </x:c>
      <x:c r="O39" s="219" t="n">
        <x:f>IF(AND(COUNT(E39:F39)=2,ISNUMBER(L39),ISNUMBER(T39)),SUM(E39:F39)-T39-L39,"Not calculated")</x:f>
        <x:v>16313.2</x:v>
      </x:c>
      <x:c r="P39" s="221" t="n">
        <x:f>IF(COUNT(O$6:O39)=A39,SUM(O$6:O39),"Not calculated")</x:f>
        <x:v>253312.6000000001</x:v>
      </x:c>
      <x:c r="Q39" s="221" t="n">
        <x:f>IF(AND(ISNUMBER(O39),ISNUMBER('Inputs'!B22)),IF(OR('Inputs'!B22&lt;0,'Inputs'!B22&gt;1),"Invalid rate",O39/(1+'Inputs'!B22)^(A39/12)),"Not calculated")</x:f>
        <x:v>12452.595643396558</x:v>
      </x:c>
      <x:c r="R39" s="96" t="n">
        <x:f>IF(COUNT(N39:N$41)=37-A39,IF(MIN(N39:N$41)&gt;=0,1,0),"Not calculated")</x:f>
        <x:v>0</x:v>
      </x:c>
      <x:c r="S39" s="96" t="n">
        <x:f>IF(COUNT(P39:P$41)=37-A39,IF(MIN(P39:P$41)&gt;=0,1,0),"Not calculated")</x:f>
        <x:v>1</x:v>
      </x:c>
      <x:c r="T39" s="224" t="n">
        <x:f>IF(AND(ISNUMBER(C39),COUNT('Inputs'!D32:D33)=2,ISNUMBER('Benefits'!F14)),IF(OR('Inputs'!D33&lt;0,'Inputs'!D33&gt;'Inputs'!D32,'Inputs'!D33&gt;'Benefits'!F14),"Invalid overlap",'Inputs'!D33*C39/12),"Not calculated")</x:f>
        <x:v>0</x:v>
      </x:c>
    </x:row>
    <x:row r="40" ht="32" customHeight="1">
      <x:c r="A40" s="156" t="n">
        <x:v>35</x:v>
      </x:c>
      <x:c r="B40" s="140" t="n">
        <x:f>IF('Inputs'!B7="","Set start date",IF(AND(ISNUMBER('Inputs'!B7),'Inputs'!B7&gt;0),EDATE('Inputs'!B7,A40-1),"Invalid date"))</x:f>
        <x:v>47392</x:v>
      </x:c>
      <x:c r="C40" s="229" t="n">
        <x:f>IF(ISNUMBER('Inputs'!D23),IF(OR('Inputs'!D23&lt;0,'Inputs'!D23&gt;1),"Invalid ramp",'Inputs'!D23),"Missing ramp")</x:f>
        <x:v>1</x:v>
      </x:c>
      <x:c r="D40" s="226" t="n">
        <x:f>IF(AND(ISNUMBER(C40),ISNUMBER('Benefits'!E14)),C40*'Benefits'!E14/12,"Not calculated")</x:f>
        <x:v>199.92</x:v>
      </x:c>
      <x:c r="E40" s="218" t="n">
        <x:f>IF(AND(ISNUMBER(C40),ISNUMBER('Benefits'!F14)),C40*'Benefits'!F14/12,"Not calculated")</x:f>
        <x:v>16993.2</x:v>
      </x:c>
      <x:c r="F40" s="218" t="n">
        <x:f>IF(AND(ISNUMBER(C40),ISNUMBER('Inputs'!D32)),IF('Inputs'!D32&lt;0,"Invalid savings",'Inputs'!D32*C40/12),"Not calculated")</x:f>
        <x:v>0</x:v>
      </x:c>
      <x:c r="G40" s="218" t="n">
        <x:f>IF(COUNT('Inputs'!D10:D11)=2,IF(MIN('Inputs'!D10:D11)&lt;0,"Invalid fee",IF(MOD(A40-1,12)=0,SUM('Inputs'!D10:D11),0)),"Missing fee")</x:f>
        <x:v>0</x:v>
      </x:c>
      <x:c r="H40" s="218" t="n">
        <x:f>IF(AND(COUNT('Inputs'!B13:B16)=4,'Inputs'!B13&gt;=0,'Inputs'!B14&gt;=0,'Inputs'!B14&lt;=1,'Inputs'!B15&gt;=1,'Inputs'!B16&lt;=12,'Inputs'!B15&lt;='Inputs'!B16,MOD('Inputs'!B15,1)=0,MOD('Inputs'!B16,1)=0),IF(A40='Inputs'!B15,'Inputs'!B13*'Inputs'!B14,0)+IF(A40='Inputs'!B16,'Inputs'!B13*(1-'Inputs'!B14),0),"Missing / invalid milestone")</x:f>
        <x:v>0</x:v>
      </x:c>
      <x:c r="I40" s="218" t="n">
        <x:f>IF(AND(ISNUMBER('Inputs'!D12),ISNUMBER('Inputs'!B17),ISNUMBER(H40)),IF(OR('Inputs'!D12&lt;0,'Inputs'!B17&lt;0),"Invalid cost",'Inputs'!D12/12+IF(A40='Inputs'!B15,'Inputs'!B17,0)),"Missing cost")</x:f>
        <x:v>0</x:v>
      </x:c>
      <x:c r="J40" s="221" t="n">
        <x:f>IF(COUNT(G40:I40)=3,SUM(G40:I40),"Not calculated")</x:f>
        <x:v>0</x:v>
      </x:c>
      <x:c r="K40" s="218" t="n">
        <x:f>IF(AND(COUNT('Inputs'!B18:B20)=3,ISNUMBER('Inputs'!D21),ISNUMBER(H40)),IF(OR(MIN('Inputs'!B18:B20)&lt;0,'Inputs'!D21&lt;0),"Invalid hours",('Inputs'!D21+IF(A40='Inputs'!B15,'Inputs'!B18,0)+IF(A40='Inputs'!B16,'Inputs'!B19,0))*'Inputs'!B20),"Missing hours")</x:f>
        <x:v>680</x:v>
      </x:c>
      <x:c r="L40" s="218" t="n">
        <x:f>IF(COUNT(J40:K40)=2,SUM(J40:K40),"Not calculated")</x:f>
        <x:v>680</x:v>
      </x:c>
      <x:c r="M40" s="218" t="n">
        <x:f>IF(AND(ISNUMBER(F40),ISNUMBER(J40)),F40-J40,"Not calculated")</x:f>
        <x:v>0</x:v>
      </x:c>
      <x:c r="N40" s="221" t="n">
        <x:f>IF(COUNT(M$6:M40)=A40,SUM(M$6:M40),"Not calculated")</x:f>
        <x:v>-218400</x:v>
      </x:c>
      <x:c r="O40" s="218" t="n">
        <x:f>IF(AND(COUNT(E40:F40)=2,ISNUMBER(L40),ISNUMBER(T40)),SUM(E40:F40)-T40-L40,"Not calculated")</x:f>
        <x:v>16313.2</x:v>
      </x:c>
      <x:c r="P40" s="221" t="n">
        <x:f>IF(COUNT(O$6:O40)=A40,SUM(O$6:O40),"Not calculated")</x:f>
        <x:v>269625.8000000001</x:v>
      </x:c>
      <x:c r="Q40" s="221" t="n">
        <x:f>IF(AND(ISNUMBER(O40),ISNUMBER('Inputs'!B22)),IF(OR('Inputs'!B22&lt;0,'Inputs'!B22&gt;1),"Invalid rate",O40/(1+'Inputs'!B22)^(A40/12)),"Not calculated")</x:f>
        <x:v>12354.082455029895</x:v>
      </x:c>
      <x:c r="R40" s="72" t="n">
        <x:f>IF(COUNT(N40:N$41)=37-A40,IF(MIN(N40:N$41)&gt;=0,1,0),"Not calculated")</x:f>
        <x:v>0</x:v>
      </x:c>
      <x:c r="S40" s="72" t="n">
        <x:f>IF(COUNT(P40:P$41)=37-A40,IF(MIN(P40:P$41)&gt;=0,1,0),"Not calculated")</x:f>
        <x:v>1</x:v>
      </x:c>
      <x:c r="T40" s="223" t="n">
        <x:f>IF(AND(ISNUMBER(C40),COUNT('Inputs'!D32:D33)=2,ISNUMBER('Benefits'!F14)),IF(OR('Inputs'!D33&lt;0,'Inputs'!D33&gt;'Inputs'!D32,'Inputs'!D33&gt;'Benefits'!F14),"Invalid overlap",'Inputs'!D33*C40/12),"Not calculated")</x:f>
        <x:v>0</x:v>
      </x:c>
    </x:row>
    <x:row r="41" ht="32" customHeight="1">
      <x:c r="A41" s="158" t="n">
        <x:v>36</x:v>
      </x:c>
      <x:c r="B41" s="151" t="n">
        <x:f>IF('Inputs'!B7="","Set start date",IF(AND(ISNUMBER('Inputs'!B7),'Inputs'!B7&gt;0),EDATE('Inputs'!B7,A41-1),"Invalid date"))</x:f>
        <x:v>47423</x:v>
      </x:c>
      <x:c r="C41" s="231" t="n">
        <x:f>IF(ISNUMBER('Inputs'!D23),IF(OR('Inputs'!D23&lt;0,'Inputs'!D23&gt;1),"Invalid ramp",'Inputs'!D23),"Missing ramp")</x:f>
        <x:v>1</x:v>
      </x:c>
      <x:c r="D41" s="228" t="n">
        <x:f>IF(AND(ISNUMBER(C41),ISNUMBER('Benefits'!E14)),C41*'Benefits'!E14/12,"Not calculated")</x:f>
        <x:v>199.92</x:v>
      </x:c>
      <x:c r="E41" s="220" t="n">
        <x:f>IF(AND(ISNUMBER(C41),ISNUMBER('Benefits'!F14)),C41*'Benefits'!F14/12,"Not calculated")</x:f>
        <x:v>16993.2</x:v>
      </x:c>
      <x:c r="F41" s="220" t="n">
        <x:f>IF(AND(ISNUMBER(C41),ISNUMBER('Inputs'!D32)),IF('Inputs'!D32&lt;0,"Invalid savings",'Inputs'!D32*C41/12),"Not calculated")</x:f>
        <x:v>0</x:v>
      </x:c>
      <x:c r="G41" s="220" t="n">
        <x:f>IF(COUNT('Inputs'!D10:D11)=2,IF(MIN('Inputs'!D10:D11)&lt;0,"Invalid fee",IF(MOD(A41-1,12)=0,SUM('Inputs'!D10:D11),0)),"Missing fee")</x:f>
        <x:v>0</x:v>
      </x:c>
      <x:c r="H41" s="220" t="n">
        <x:f>IF(AND(COUNT('Inputs'!B13:B16)=4,'Inputs'!B13&gt;=0,'Inputs'!B14&gt;=0,'Inputs'!B14&lt;=1,'Inputs'!B15&gt;=1,'Inputs'!B16&lt;=12,'Inputs'!B15&lt;='Inputs'!B16,MOD('Inputs'!B15,1)=0,MOD('Inputs'!B16,1)=0),IF(A41='Inputs'!B15,'Inputs'!B13*'Inputs'!B14,0)+IF(A41='Inputs'!B16,'Inputs'!B13*(1-'Inputs'!B14),0),"Missing / invalid milestone")</x:f>
        <x:v>0</x:v>
      </x:c>
      <x:c r="I41" s="220" t="n">
        <x:f>IF(AND(ISNUMBER('Inputs'!D12),ISNUMBER('Inputs'!B17),ISNUMBER(H41)),IF(OR('Inputs'!D12&lt;0,'Inputs'!B17&lt;0),"Invalid cost",'Inputs'!D12/12+IF(A41='Inputs'!B15,'Inputs'!B17,0)),"Missing cost")</x:f>
        <x:v>0</x:v>
      </x:c>
      <x:c r="J41" s="222" t="n">
        <x:f>IF(COUNT(G41:I41)=3,SUM(G41:I41),"Not calculated")</x:f>
        <x:v>0</x:v>
      </x:c>
      <x:c r="K41" s="220" t="n">
        <x:f>IF(AND(COUNT('Inputs'!B18:B20)=3,ISNUMBER('Inputs'!D21),ISNUMBER(H41)),IF(OR(MIN('Inputs'!B18:B20)&lt;0,'Inputs'!D21&lt;0),"Invalid hours",('Inputs'!D21+IF(A41='Inputs'!B15,'Inputs'!B18,0)+IF(A41='Inputs'!B16,'Inputs'!B19,0))*'Inputs'!B20),"Missing hours")</x:f>
        <x:v>680</x:v>
      </x:c>
      <x:c r="L41" s="220" t="n">
        <x:f>IF(COUNT(J41:K41)=2,SUM(J41:K41),"Not calculated")</x:f>
        <x:v>680</x:v>
      </x:c>
      <x:c r="M41" s="220" t="n">
        <x:f>IF(AND(ISNUMBER(F41),ISNUMBER(J41)),F41-J41,"Not calculated")</x:f>
        <x:v>0</x:v>
      </x:c>
      <x:c r="N41" s="222" t="n">
        <x:f>IF(COUNT(M$6:M41)=A41,SUM(M$6:M41),"Not calculated")</x:f>
        <x:v>-218400</x:v>
      </x:c>
      <x:c r="O41" s="220" t="n">
        <x:f>IF(AND(COUNT(E41:F41)=2,ISNUMBER(L41),ISNUMBER(T41)),SUM(E41:F41)-T41-L41,"Not calculated")</x:f>
        <x:v>16313.2</x:v>
      </x:c>
      <x:c r="P41" s="222" t="n">
        <x:f>IF(COUNT(O$6:O41)=A41,SUM(O$6:O41),"Not calculated")</x:f>
        <x:v>285939.0000000001</x:v>
      </x:c>
      <x:c r="Q41" s="222" t="n">
        <x:f>IF(AND(ISNUMBER(O41),ISNUMBER('Inputs'!B22)),IF(OR('Inputs'!B22&lt;0,'Inputs'!B22&gt;1),"Invalid rate",O41/(1+'Inputs'!B22)^(A41/12)),"Not calculated")</x:f>
        <x:v>12256.348610067615</x:v>
      </x:c>
      <x:c r="R41" s="98" t="n">
        <x:f>IF(COUNT(N41:N$41)=37-A41,IF(MIN(N41:N$41)&gt;=0,1,0),"Not calculated")</x:f>
        <x:v>0</x:v>
      </x:c>
      <x:c r="S41" s="98" t="n">
        <x:f>IF(COUNT(P41:P$41)=37-A41,IF(MIN(P41:P$41)&gt;=0,1,0),"Not calculated")</x:f>
        <x:v>1</x:v>
      </x:c>
      <x:c r="T41" s="225" t="n">
        <x:f>IF(AND(ISNUMBER(C41),COUNT('Inputs'!D32:D33)=2,ISNUMBER('Benefits'!F14)),IF(OR('Inputs'!D33&lt;0,'Inputs'!D33&gt;'Inputs'!D32,'Inputs'!D33&gt;'Benefits'!F14),"Invalid overlap",'Inputs'!D33*C41/12),"Not calculated")</x:f>
        <x:v>0</x:v>
      </x:c>
    </x:row>
    <x:row r="42">
      <x:c r="A42" s="1"/>
      <x:c r="B42" s="1"/>
      <x:c r="C42" s="1"/>
      <x:c r="D42" s="1"/>
      <x:c r="E42" s="1"/>
      <x:c r="F42" s="1"/>
      <x:c r="G42" s="1"/>
      <x:c r="H42" s="1"/>
      <x:c r="I42" s="1"/>
      <x:c r="J42" s="1"/>
      <x:c r="K42" s="1"/>
      <x:c r="L42" s="1"/>
      <x:c r="M42" s="1"/>
      <x:c r="N42" s="1"/>
      <x:c r="O42" s="1"/>
      <x:c r="P42" s="1"/>
      <x:c r="Q42" s="1"/>
      <x:c r="R42" s="1"/>
      <x:c r="S42" s="1"/>
      <x:c r="T42" s="1"/>
    </x:row>
    <x:row r="43">
      <x:c r="A43" s="1"/>
      <x:c r="B43" s="1"/>
      <x:c r="C43" s="1"/>
      <x:c r="D43" s="1"/>
      <x:c r="E43" s="1"/>
      <x:c r="F43" s="1"/>
      <x:c r="G43" s="1"/>
      <x:c r="H43" s="1"/>
      <x:c r="I43" s="1"/>
      <x:c r="J43" s="1"/>
      <x:c r="K43" s="1"/>
      <x:c r="L43" s="1"/>
      <x:c r="M43" s="1"/>
      <x:c r="N43" s="1"/>
      <x:c r="O43" s="1"/>
      <x:c r="P43" s="1"/>
      <x:c r="Q43" s="1"/>
      <x:c r="R43" s="1"/>
      <x:c r="S43" s="1"/>
      <x:c r="T43" s="1"/>
    </x:row>
    <x:row r="44">
      <x:c r="A44" s="1"/>
      <x:c r="B44" s="1"/>
      <x:c r="C44" s="1"/>
      <x:c r="D44" s="1"/>
      <x:c r="E44" s="1"/>
      <x:c r="F44" s="1"/>
      <x:c r="G44" s="1"/>
      <x:c r="H44" s="1"/>
      <x:c r="I44" s="1"/>
      <x:c r="J44" s="1"/>
      <x:c r="K44" s="1"/>
      <x:c r="L44" s="1"/>
      <x:c r="M44" s="1"/>
      <x:c r="N44" s="1"/>
      <x:c r="O44" s="1"/>
      <x:c r="P44" s="1"/>
      <x:c r="Q44" s="1"/>
      <x:c r="R44" s="1"/>
      <x:c r="S44" s="1"/>
      <x:c r="T44" s="1"/>
    </x:row>
    <x:row r="45">
      <x:c r="A45" s="1"/>
      <x:c r="B45" s="1"/>
      <x:c r="C45" s="1"/>
      <x:c r="D45" s="1"/>
      <x:c r="E45" s="1"/>
      <x:c r="F45" s="1"/>
      <x:c r="G45" s="1"/>
      <x:c r="H45" s="1"/>
      <x:c r="I45" s="1"/>
      <x:c r="J45" s="1"/>
      <x:c r="K45" s="1"/>
      <x:c r="L45" s="1"/>
      <x:c r="M45" s="1"/>
      <x:c r="N45" s="1"/>
      <x:c r="O45" s="1"/>
      <x:c r="P45" s="1"/>
      <x:c r="Q45" s="1"/>
      <x:c r="R45" s="1"/>
      <x:c r="S45" s="1"/>
      <x:c r="T45" s="1"/>
    </x:row>
    <x:row r="46">
      <x:c r="A46" s="1"/>
      <x:c r="B46" s="1"/>
      <x:c r="C46" s="1"/>
      <x:c r="D46" s="1"/>
      <x:c r="E46" s="1"/>
      <x:c r="F46" s="1"/>
      <x:c r="G46" s="1"/>
      <x:c r="H46" s="1"/>
      <x:c r="I46" s="1"/>
      <x:c r="J46" s="1"/>
      <x:c r="K46" s="1"/>
      <x:c r="L46" s="1"/>
      <x:c r="M46" s="1"/>
      <x:c r="N46" s="1"/>
      <x:c r="O46" s="1"/>
      <x:c r="P46" s="1"/>
      <x:c r="Q46" s="1"/>
      <x:c r="R46" s="1"/>
      <x:c r="S46" s="1"/>
      <x:c r="T46" s="1"/>
    </x:row>
    <x:row r="47">
      <x:c r="A47" s="1"/>
      <x:c r="B47" s="1"/>
      <x:c r="C47" s="1"/>
      <x:c r="D47" s="1"/>
      <x:c r="E47" s="1"/>
      <x:c r="F47" s="1"/>
      <x:c r="G47" s="1"/>
      <x:c r="H47" s="1"/>
      <x:c r="I47" s="1"/>
      <x:c r="J47" s="1"/>
      <x:c r="K47" s="1"/>
      <x:c r="L47" s="1"/>
      <x:c r="M47" s="1"/>
      <x:c r="N47" s="1"/>
      <x:c r="O47" s="1"/>
      <x:c r="P47" s="1"/>
      <x:c r="Q47" s="1"/>
      <x:c r="R47" s="1"/>
      <x:c r="S47" s="1"/>
      <x:c r="T47" s="1"/>
    </x:row>
    <x:row r="48">
      <x:c r="A48" s="1"/>
      <x:c r="B48" s="1"/>
      <x:c r="C48" s="1"/>
      <x:c r="D48" s="1"/>
      <x:c r="E48" s="1"/>
      <x:c r="F48" s="1"/>
      <x:c r="G48" s="1"/>
      <x:c r="H48" s="1"/>
      <x:c r="I48" s="1"/>
      <x:c r="J48" s="1"/>
      <x:c r="K48" s="1"/>
      <x:c r="L48" s="1"/>
      <x:c r="M48" s="1"/>
      <x:c r="N48" s="1"/>
      <x:c r="O48" s="1"/>
      <x:c r="P48" s="1"/>
      <x:c r="Q48" s="1"/>
      <x:c r="R48" s="1"/>
      <x:c r="S48" s="1"/>
      <x:c r="T48" s="1"/>
    </x:row>
    <x:row r="49">
      <x:c r="A49" s="1"/>
      <x:c r="B49" s="1"/>
      <x:c r="C49" s="1"/>
      <x:c r="D49" s="1"/>
      <x:c r="E49" s="1"/>
      <x:c r="F49" s="1"/>
      <x:c r="G49" s="1"/>
      <x:c r="H49" s="1"/>
      <x:c r="I49" s="1"/>
      <x:c r="J49" s="1"/>
      <x:c r="K49" s="1"/>
      <x:c r="L49" s="1"/>
      <x:c r="M49" s="1"/>
      <x:c r="N49" s="1"/>
      <x:c r="O49" s="1"/>
      <x:c r="P49" s="1"/>
      <x:c r="Q49" s="1"/>
      <x:c r="R49" s="1"/>
      <x:c r="S49" s="1"/>
      <x:c r="T49" s="1"/>
    </x:row>
    <x:row r="50">
      <x:c r="A50" s="1"/>
      <x:c r="B50" s="1"/>
      <x:c r="C50" s="1"/>
      <x:c r="D50" s="1"/>
      <x:c r="E50" s="1"/>
      <x:c r="F50" s="1"/>
      <x:c r="G50" s="1"/>
      <x:c r="H50" s="1"/>
      <x:c r="I50" s="1"/>
      <x:c r="J50" s="1"/>
      <x:c r="K50" s="1"/>
      <x:c r="L50" s="1"/>
      <x:c r="M50" s="1"/>
      <x:c r="N50" s="1"/>
      <x:c r="O50" s="1"/>
      <x:c r="P50" s="1"/>
      <x:c r="Q50" s="1"/>
      <x:c r="R50" s="1"/>
      <x:c r="S50" s="1"/>
      <x:c r="T50" s="1"/>
    </x:row>
    <x:row r="51">
      <x:c r="A51" s="1"/>
      <x:c r="B51" s="1"/>
      <x:c r="C51" s="1"/>
      <x:c r="D51" s="1"/>
      <x:c r="E51" s="1"/>
      <x:c r="F51" s="1"/>
      <x:c r="G51" s="1"/>
      <x:c r="H51" s="1"/>
      <x:c r="I51" s="1"/>
      <x:c r="J51" s="1"/>
      <x:c r="K51" s="1"/>
      <x:c r="L51" s="1"/>
      <x:c r="M51" s="1"/>
      <x:c r="N51" s="1"/>
      <x:c r="O51" s="1"/>
      <x:c r="P51" s="1"/>
      <x:c r="Q51" s="1"/>
      <x:c r="R51" s="1"/>
      <x:c r="S51" s="1"/>
      <x:c r="T51" s="1"/>
    </x:row>
    <x:row r="52">
      <x:c r="A52" s="1"/>
      <x:c r="B52" s="1"/>
      <x:c r="C52" s="1"/>
      <x:c r="D52" s="1"/>
      <x:c r="E52" s="1"/>
      <x:c r="F52" s="1"/>
      <x:c r="G52" s="1"/>
      <x:c r="H52" s="1"/>
      <x:c r="I52" s="1"/>
      <x:c r="J52" s="1"/>
      <x:c r="K52" s="1"/>
      <x:c r="L52" s="1"/>
      <x:c r="M52" s="1"/>
      <x:c r="N52" s="1"/>
      <x:c r="O52" s="1"/>
      <x:c r="P52" s="1"/>
      <x:c r="Q52" s="1"/>
      <x:c r="R52" s="1"/>
      <x:c r="S52" s="1"/>
      <x:c r="T52" s="1"/>
    </x:row>
    <x:row r="53">
      <x:c r="A53" s="1"/>
      <x:c r="B53" s="1"/>
      <x:c r="C53" s="1"/>
      <x:c r="D53" s="1"/>
      <x:c r="E53" s="1"/>
      <x:c r="F53" s="1"/>
      <x:c r="G53" s="1"/>
      <x:c r="H53" s="1"/>
      <x:c r="I53" s="1"/>
      <x:c r="J53" s="1"/>
      <x:c r="K53" s="1"/>
      <x:c r="L53" s="1"/>
      <x:c r="M53" s="1"/>
      <x:c r="N53" s="1"/>
      <x:c r="O53" s="1"/>
      <x:c r="P53" s="1"/>
      <x:c r="Q53" s="1"/>
      <x:c r="R53" s="1"/>
      <x:c r="S53" s="1"/>
      <x:c r="T53" s="1"/>
    </x:row>
    <x:row r="54">
      <x:c r="A54" s="1"/>
      <x:c r="B54" s="1"/>
      <x:c r="C54" s="1"/>
      <x:c r="D54" s="1"/>
      <x:c r="E54" s="1"/>
      <x:c r="F54" s="1"/>
      <x:c r="G54" s="1"/>
      <x:c r="H54" s="1"/>
      <x:c r="I54" s="1"/>
      <x:c r="J54" s="1"/>
      <x:c r="K54" s="1"/>
      <x:c r="L54" s="1"/>
      <x:c r="M54" s="1"/>
      <x:c r="N54" s="1"/>
      <x:c r="O54" s="1"/>
      <x:c r="P54" s="1"/>
      <x:c r="Q54" s="1"/>
      <x:c r="R54" s="1"/>
      <x:c r="S54" s="1"/>
      <x:c r="T54" s="1"/>
    </x:row>
    <x:row r="55">
      <x:c r="A55" s="1"/>
      <x:c r="B55" s="1"/>
      <x:c r="C55" s="1"/>
      <x:c r="D55" s="1"/>
      <x:c r="E55" s="1"/>
      <x:c r="F55" s="1"/>
      <x:c r="G55" s="1"/>
      <x:c r="H55" s="1"/>
      <x:c r="I55" s="1"/>
      <x:c r="J55" s="1"/>
      <x:c r="K55" s="1"/>
      <x:c r="L55" s="1"/>
      <x:c r="M55" s="1"/>
      <x:c r="N55" s="1"/>
      <x:c r="O55" s="1"/>
      <x:c r="P55" s="1"/>
      <x:c r="Q55" s="1"/>
      <x:c r="R55" s="1"/>
      <x:c r="S55" s="1"/>
      <x:c r="T55" s="1"/>
    </x:row>
    <x:row r="56">
      <x:c r="A56" s="1"/>
      <x:c r="B56" s="1"/>
      <x:c r="C56" s="1"/>
      <x:c r="D56" s="1"/>
      <x:c r="E56" s="1"/>
      <x:c r="F56" s="1"/>
      <x:c r="G56" s="1"/>
      <x:c r="H56" s="1"/>
      <x:c r="I56" s="1"/>
      <x:c r="J56" s="1"/>
      <x:c r="K56" s="1"/>
      <x:c r="L56" s="1"/>
      <x:c r="M56" s="1"/>
      <x:c r="N56" s="1"/>
      <x:c r="O56" s="1"/>
      <x:c r="P56" s="1"/>
      <x:c r="Q56" s="1"/>
      <x:c r="R56" s="1"/>
      <x:c r="S56" s="1"/>
      <x:c r="T56" s="1"/>
    </x:row>
    <x:row r="57">
      <x:c r="A57" s="1"/>
      <x:c r="B57" s="1"/>
      <x:c r="C57" s="1"/>
      <x:c r="D57" s="1"/>
      <x:c r="E57" s="1"/>
      <x:c r="F57" s="1"/>
      <x:c r="G57" s="1"/>
      <x:c r="H57" s="1"/>
      <x:c r="I57" s="1"/>
      <x:c r="J57" s="1"/>
      <x:c r="K57" s="1"/>
      <x:c r="L57" s="1"/>
      <x:c r="M57" s="1"/>
      <x:c r="N57" s="1"/>
      <x:c r="O57" s="1"/>
      <x:c r="P57" s="1"/>
      <x:c r="Q57" s="1"/>
      <x:c r="R57" s="1"/>
      <x:c r="S57" s="1"/>
      <x:c r="T57" s="1"/>
    </x:row>
    <x:row r="58">
      <x:c r="A58" s="1"/>
      <x:c r="B58" s="1"/>
      <x:c r="C58" s="1"/>
      <x:c r="D58" s="1"/>
      <x:c r="E58" s="1"/>
      <x:c r="F58" s="1"/>
      <x:c r="G58" s="1"/>
      <x:c r="H58" s="1"/>
      <x:c r="I58" s="1"/>
      <x:c r="J58" s="1"/>
      <x:c r="K58" s="1"/>
      <x:c r="L58" s="1"/>
      <x:c r="M58" s="1"/>
      <x:c r="N58" s="1"/>
      <x:c r="O58" s="1"/>
      <x:c r="P58" s="1"/>
      <x:c r="Q58" s="1"/>
      <x:c r="R58" s="1"/>
      <x:c r="S58" s="1"/>
      <x:c r="T58" s="1"/>
    </x:row>
    <x:row r="59">
      <x:c r="A59" s="1"/>
      <x:c r="B59" s="1"/>
      <x:c r="C59" s="1"/>
      <x:c r="D59" s="1"/>
      <x:c r="E59" s="1"/>
      <x:c r="F59" s="1"/>
      <x:c r="G59" s="1"/>
      <x:c r="H59" s="1"/>
      <x:c r="I59" s="1"/>
      <x:c r="J59" s="1"/>
      <x:c r="K59" s="1"/>
      <x:c r="L59" s="1"/>
      <x:c r="M59" s="1"/>
      <x:c r="N59" s="1"/>
      <x:c r="O59" s="1"/>
      <x:c r="P59" s="1"/>
      <x:c r="Q59" s="1"/>
      <x:c r="R59" s="1"/>
      <x:c r="S59" s="1"/>
      <x:c r="T59" s="1"/>
    </x:row>
    <x:row r="60">
      <x:c r="A60" s="1"/>
      <x:c r="B60" s="1"/>
      <x:c r="C60" s="1"/>
      <x:c r="D60" s="1"/>
      <x:c r="E60" s="1"/>
      <x:c r="F60" s="1"/>
      <x:c r="G60" s="1"/>
      <x:c r="H60" s="1"/>
      <x:c r="I60" s="1"/>
      <x:c r="J60" s="1"/>
      <x:c r="K60" s="1"/>
      <x:c r="L60" s="1"/>
      <x:c r="M60" s="1"/>
      <x:c r="N60" s="1"/>
      <x:c r="O60" s="1"/>
      <x:c r="P60" s="1"/>
      <x:c r="Q60" s="1"/>
      <x:c r="R60" s="1"/>
      <x:c r="S60" s="1"/>
      <x:c r="T60" s="1"/>
    </x:row>
    <x:row r="61">
      <x:c r="A61" s="1"/>
      <x:c r="B61" s="1"/>
      <x:c r="C61" s="1"/>
      <x:c r="D61" s="1"/>
      <x:c r="E61" s="1"/>
      <x:c r="F61" s="1"/>
      <x:c r="G61" s="1"/>
      <x:c r="H61" s="1"/>
      <x:c r="I61" s="1"/>
      <x:c r="J61" s="1"/>
      <x:c r="K61" s="1"/>
      <x:c r="L61" s="1"/>
      <x:c r="M61" s="1"/>
      <x:c r="N61" s="1"/>
      <x:c r="O61" s="1"/>
      <x:c r="P61" s="1"/>
      <x:c r="Q61" s="1"/>
      <x:c r="R61" s="1"/>
      <x:c r="S61" s="1"/>
      <x:c r="T61" s="1"/>
    </x:row>
    <x:row r="62">
      <x:c r="A62" s="1"/>
      <x:c r="B62" s="1"/>
      <x:c r="C62" s="1"/>
      <x:c r="D62" s="1"/>
      <x:c r="E62" s="1"/>
      <x:c r="F62" s="1"/>
      <x:c r="G62" s="1"/>
      <x:c r="H62" s="1"/>
      <x:c r="I62" s="1"/>
      <x:c r="J62" s="1"/>
      <x:c r="K62" s="1"/>
      <x:c r="L62" s="1"/>
      <x:c r="M62" s="1"/>
      <x:c r="N62" s="1"/>
      <x:c r="O62" s="1"/>
      <x:c r="P62" s="1"/>
      <x:c r="Q62" s="1"/>
      <x:c r="R62" s="1"/>
      <x:c r="S62" s="1"/>
      <x:c r="T62" s="1"/>
    </x:row>
    <x:row r="63">
      <x:c r="A63" s="1"/>
      <x:c r="B63" s="1"/>
      <x:c r="C63" s="1"/>
      <x:c r="D63" s="1"/>
      <x:c r="E63" s="1"/>
      <x:c r="F63" s="1"/>
      <x:c r="G63" s="1"/>
      <x:c r="H63" s="1"/>
      <x:c r="I63" s="1"/>
      <x:c r="J63" s="1"/>
      <x:c r="K63" s="1"/>
      <x:c r="L63" s="1"/>
      <x:c r="M63" s="1"/>
      <x:c r="N63" s="1"/>
      <x:c r="O63" s="1"/>
      <x:c r="P63" s="1"/>
      <x:c r="Q63" s="1"/>
      <x:c r="R63" s="1"/>
      <x:c r="S63" s="1"/>
      <x:c r="T63" s="1"/>
    </x:row>
    <x:row r="64">
      <x:c r="A64" s="1"/>
      <x:c r="B64" s="1"/>
      <x:c r="C64" s="1"/>
      <x:c r="D64" s="1"/>
      <x:c r="E64" s="1"/>
      <x:c r="F64" s="1"/>
      <x:c r="G64" s="1"/>
      <x:c r="H64" s="1"/>
      <x:c r="I64" s="1"/>
      <x:c r="J64" s="1"/>
      <x:c r="K64" s="1"/>
      <x:c r="L64" s="1"/>
      <x:c r="M64" s="1"/>
      <x:c r="N64" s="1"/>
      <x:c r="O64" s="1"/>
      <x:c r="P64" s="1"/>
      <x:c r="Q64" s="1"/>
      <x:c r="R64" s="1"/>
      <x:c r="S64" s="1"/>
      <x:c r="T64" s="1"/>
    </x:row>
    <x:row r="65">
      <x:c r="A65" s="1"/>
      <x:c r="B65" s="1"/>
      <x:c r="C65" s="1"/>
      <x:c r="D65" s="1"/>
      <x:c r="E65" s="1"/>
      <x:c r="F65" s="1"/>
      <x:c r="G65" s="1"/>
      <x:c r="H65" s="1"/>
      <x:c r="I65" s="1"/>
      <x:c r="J65" s="1"/>
      <x:c r="K65" s="1"/>
      <x:c r="L65" s="1"/>
      <x:c r="M65" s="1"/>
      <x:c r="N65" s="1"/>
      <x:c r="O65" s="1"/>
      <x:c r="P65" s="1"/>
      <x:c r="Q65" s="1"/>
      <x:c r="R65" s="1"/>
      <x:c r="S65" s="1"/>
      <x:c r="T65" s="1"/>
    </x:row>
    <x:row r="66">
      <x:c r="A66" s="1"/>
      <x:c r="B66" s="1"/>
      <x:c r="C66" s="1"/>
      <x:c r="D66" s="1"/>
      <x:c r="E66" s="1"/>
      <x:c r="F66" s="1"/>
      <x:c r="G66" s="1"/>
      <x:c r="H66" s="1"/>
      <x:c r="I66" s="1"/>
      <x:c r="J66" s="1"/>
      <x:c r="K66" s="1"/>
      <x:c r="L66" s="1"/>
      <x:c r="M66" s="1"/>
      <x:c r="N66" s="1"/>
      <x:c r="O66" s="1"/>
      <x:c r="P66" s="1"/>
      <x:c r="Q66" s="1"/>
      <x:c r="R66" s="1"/>
      <x:c r="S66" s="1"/>
      <x:c r="T66" s="1"/>
    </x:row>
    <x:row r="67">
      <x:c r="A67" s="1"/>
      <x:c r="B67" s="1"/>
      <x:c r="C67" s="1"/>
      <x:c r="D67" s="1"/>
      <x:c r="E67" s="1"/>
      <x:c r="F67" s="1"/>
      <x:c r="G67" s="1"/>
      <x:c r="H67" s="1"/>
      <x:c r="I67" s="1"/>
      <x:c r="J67" s="1"/>
      <x:c r="K67" s="1"/>
      <x:c r="L67" s="1"/>
      <x:c r="M67" s="1"/>
      <x:c r="N67" s="1"/>
      <x:c r="O67" s="1"/>
      <x:c r="P67" s="1"/>
      <x:c r="Q67" s="1"/>
      <x:c r="R67" s="1"/>
      <x:c r="S67" s="1"/>
      <x:c r="T67" s="1"/>
    </x:row>
    <x:row r="68">
      <x:c r="A68" s="1"/>
      <x:c r="B68" s="1"/>
      <x:c r="C68" s="1"/>
      <x:c r="D68" s="1"/>
      <x:c r="E68" s="1"/>
      <x:c r="F68" s="1"/>
      <x:c r="G68" s="1"/>
      <x:c r="H68" s="1"/>
      <x:c r="I68" s="1"/>
      <x:c r="J68" s="1"/>
      <x:c r="K68" s="1"/>
      <x:c r="L68" s="1"/>
      <x:c r="M68" s="1"/>
      <x:c r="N68" s="1"/>
      <x:c r="O68" s="1"/>
      <x:c r="P68" s="1"/>
      <x:c r="Q68" s="1"/>
      <x:c r="R68" s="1"/>
      <x:c r="S68" s="1"/>
      <x:c r="T68" s="1"/>
    </x:row>
    <x:row r="69">
      <x:c r="A69" s="1"/>
      <x:c r="B69" s="1"/>
      <x:c r="C69" s="1"/>
      <x:c r="D69" s="1"/>
      <x:c r="E69" s="1"/>
      <x:c r="F69" s="1"/>
      <x:c r="G69" s="1"/>
      <x:c r="H69" s="1"/>
      <x:c r="I69" s="1"/>
      <x:c r="J69" s="1"/>
      <x:c r="K69" s="1"/>
      <x:c r="L69" s="1"/>
      <x:c r="M69" s="1"/>
      <x:c r="N69" s="1"/>
      <x:c r="O69" s="1"/>
      <x:c r="P69" s="1"/>
      <x:c r="Q69" s="1"/>
      <x:c r="R69" s="1"/>
      <x:c r="S69" s="1"/>
      <x:c r="T69" s="1"/>
    </x:row>
    <x:row r="70">
      <x:c r="A70" s="1"/>
      <x:c r="B70" s="1"/>
      <x:c r="C70" s="1"/>
      <x:c r="D70" s="1"/>
      <x:c r="E70" s="1"/>
      <x:c r="F70" s="1"/>
      <x:c r="G70" s="1"/>
      <x:c r="H70" s="1"/>
      <x:c r="I70" s="1"/>
      <x:c r="J70" s="1"/>
      <x:c r="K70" s="1"/>
      <x:c r="L70" s="1"/>
      <x:c r="M70" s="1"/>
      <x:c r="N70" s="1"/>
      <x:c r="O70" s="1"/>
      <x:c r="P70" s="1"/>
      <x:c r="Q70" s="1"/>
      <x:c r="R70" s="1"/>
      <x:c r="S70" s="1"/>
      <x:c r="T70" s="1"/>
    </x:row>
    <x:row r="71">
      <x:c r="A71" s="1"/>
      <x:c r="B71" s="1"/>
      <x:c r="C71" s="1"/>
      <x:c r="D71" s="1"/>
      <x:c r="E71" s="1"/>
      <x:c r="F71" s="1"/>
      <x:c r="G71" s="1"/>
      <x:c r="H71" s="1"/>
      <x:c r="I71" s="1"/>
      <x:c r="J71" s="1"/>
      <x:c r="K71" s="1"/>
      <x:c r="L71" s="1"/>
      <x:c r="M71" s="1"/>
      <x:c r="N71" s="1"/>
      <x:c r="O71" s="1"/>
      <x:c r="P71" s="1"/>
      <x:c r="Q71" s="1"/>
      <x:c r="R71" s="1"/>
      <x:c r="S71" s="1"/>
      <x:c r="T71" s="1"/>
    </x:row>
    <x:row r="72">
      <x:c r="A72" s="1"/>
      <x:c r="B72" s="1"/>
      <x:c r="C72" s="1"/>
      <x:c r="D72" s="1"/>
      <x:c r="E72" s="1"/>
      <x:c r="F72" s="1"/>
      <x:c r="G72" s="1"/>
      <x:c r="H72" s="1"/>
      <x:c r="I72" s="1"/>
      <x:c r="J72" s="1"/>
      <x:c r="K72" s="1"/>
      <x:c r="L72" s="1"/>
      <x:c r="M72" s="1"/>
      <x:c r="N72" s="1"/>
      <x:c r="O72" s="1"/>
      <x:c r="P72" s="1"/>
      <x:c r="Q72" s="1"/>
      <x:c r="R72" s="1"/>
      <x:c r="S72" s="1"/>
      <x:c r="T72" s="1"/>
    </x:row>
    <x:row r="73">
      <x:c r="A73" s="1"/>
      <x:c r="B73" s="1"/>
      <x:c r="C73" s="1"/>
      <x:c r="D73" s="1"/>
      <x:c r="E73" s="1"/>
      <x:c r="F73" s="1"/>
      <x:c r="G73" s="1"/>
      <x:c r="H73" s="1"/>
      <x:c r="I73" s="1"/>
      <x:c r="J73" s="1"/>
      <x:c r="K73" s="1"/>
      <x:c r="L73" s="1"/>
      <x:c r="M73" s="1"/>
      <x:c r="N73" s="1"/>
      <x:c r="O73" s="1"/>
      <x:c r="P73" s="1"/>
      <x:c r="Q73" s="1"/>
      <x:c r="R73" s="1"/>
      <x:c r="S73" s="1"/>
      <x:c r="T73" s="1"/>
    </x:row>
    <x:row r="74">
      <x:c r="A74" s="1"/>
      <x:c r="B74" s="1"/>
      <x:c r="C74" s="1"/>
      <x:c r="D74" s="1"/>
      <x:c r="E74" s="1"/>
      <x:c r="F74" s="1"/>
      <x:c r="G74" s="1"/>
      <x:c r="H74" s="1"/>
      <x:c r="I74" s="1"/>
      <x:c r="J74" s="1"/>
      <x:c r="K74" s="1"/>
      <x:c r="L74" s="1"/>
      <x:c r="M74" s="1"/>
      <x:c r="N74" s="1"/>
      <x:c r="O74" s="1"/>
      <x:c r="P74" s="1"/>
      <x:c r="Q74" s="1"/>
      <x:c r="R74" s="1"/>
      <x:c r="S74" s="1"/>
      <x:c r="T74" s="1"/>
    </x:row>
    <x:row r="75">
      <x:c r="A75" s="1"/>
      <x:c r="B75" s="1"/>
      <x:c r="C75" s="1"/>
      <x:c r="D75" s="1"/>
      <x:c r="E75" s="1"/>
      <x:c r="F75" s="1"/>
      <x:c r="G75" s="1"/>
      <x:c r="H75" s="1"/>
      <x:c r="I75" s="1"/>
      <x:c r="J75" s="1"/>
      <x:c r="K75" s="1"/>
      <x:c r="L75" s="1"/>
      <x:c r="M75" s="1"/>
      <x:c r="N75" s="1"/>
      <x:c r="O75" s="1"/>
      <x:c r="P75" s="1"/>
      <x:c r="Q75" s="1"/>
      <x:c r="R75" s="1"/>
      <x:c r="S75" s="1"/>
      <x:c r="T75" s="1"/>
    </x:row>
    <x:row r="76">
      <x:c r="A76" s="1"/>
      <x:c r="B76" s="1"/>
      <x:c r="C76" s="1"/>
      <x:c r="D76" s="1"/>
      <x:c r="E76" s="1"/>
      <x:c r="F76" s="1"/>
      <x:c r="G76" s="1"/>
      <x:c r="H76" s="1"/>
      <x:c r="I76" s="1"/>
      <x:c r="J76" s="1"/>
      <x:c r="K76" s="1"/>
      <x:c r="L76" s="1"/>
      <x:c r="M76" s="1"/>
      <x:c r="N76" s="1"/>
      <x:c r="O76" s="1"/>
      <x:c r="P76" s="1"/>
      <x:c r="Q76" s="1"/>
      <x:c r="R76" s="1"/>
      <x:c r="S76" s="1"/>
      <x:c r="T76" s="1"/>
    </x:row>
    <x:row r="77">
      <x:c r="A77" s="1"/>
      <x:c r="B77" s="1"/>
      <x:c r="C77" s="1"/>
      <x:c r="D77" s="1"/>
      <x:c r="E77" s="1"/>
      <x:c r="F77" s="1"/>
      <x:c r="G77" s="1"/>
      <x:c r="H77" s="1"/>
      <x:c r="I77" s="1"/>
      <x:c r="J77" s="1"/>
      <x:c r="K77" s="1"/>
      <x:c r="L77" s="1"/>
      <x:c r="M77" s="1"/>
      <x:c r="N77" s="1"/>
      <x:c r="O77" s="1"/>
      <x:c r="P77" s="1"/>
      <x:c r="Q77" s="1"/>
      <x:c r="R77" s="1"/>
      <x:c r="S77" s="1"/>
      <x:c r="T77" s="1"/>
    </x:row>
    <x:row r="78">
      <x:c r="A78" s="1"/>
      <x:c r="B78" s="1"/>
      <x:c r="C78" s="1"/>
      <x:c r="D78" s="1"/>
      <x:c r="E78" s="1"/>
      <x:c r="F78" s="1"/>
      <x:c r="G78" s="1"/>
      <x:c r="H78" s="1"/>
      <x:c r="I78" s="1"/>
      <x:c r="J78" s="1"/>
      <x:c r="K78" s="1"/>
      <x:c r="L78" s="1"/>
      <x:c r="M78" s="1"/>
      <x:c r="N78" s="1"/>
      <x:c r="O78" s="1"/>
      <x:c r="P78" s="1"/>
      <x:c r="Q78" s="1"/>
      <x:c r="R78" s="1"/>
      <x:c r="S78" s="1"/>
      <x:c r="T78" s="1"/>
    </x:row>
    <x:row r="79">
      <x:c r="A79" s="1"/>
      <x:c r="B79" s="1"/>
      <x:c r="C79" s="1"/>
      <x:c r="D79" s="1"/>
      <x:c r="E79" s="1"/>
      <x:c r="F79" s="1"/>
      <x:c r="G79" s="1"/>
      <x:c r="H79" s="1"/>
      <x:c r="I79" s="1"/>
      <x:c r="J79" s="1"/>
      <x:c r="K79" s="1"/>
      <x:c r="L79" s="1"/>
      <x:c r="M79" s="1"/>
      <x:c r="N79" s="1"/>
      <x:c r="O79" s="1"/>
      <x:c r="P79" s="1"/>
      <x:c r="Q79" s="1"/>
      <x:c r="R79" s="1"/>
      <x:c r="S79" s="1"/>
      <x:c r="T79" s="1"/>
    </x:row>
    <x:row r="80">
      <x:c r="A80" s="1"/>
      <x:c r="B80" s="1"/>
      <x:c r="C80" s="1"/>
      <x:c r="D80" s="1"/>
      <x:c r="E80" s="1"/>
      <x:c r="F80" s="1"/>
      <x:c r="G80" s="1"/>
      <x:c r="H80" s="1"/>
      <x:c r="I80" s="1"/>
      <x:c r="J80" s="1"/>
      <x:c r="K80" s="1"/>
      <x:c r="L80" s="1"/>
      <x:c r="M80" s="1"/>
      <x:c r="N80" s="1"/>
      <x:c r="O80" s="1"/>
      <x:c r="P80" s="1"/>
      <x:c r="Q80" s="1"/>
      <x:c r="R80" s="1"/>
      <x:c r="S80" s="1"/>
      <x:c r="T80" s="1"/>
    </x:row>
    <x:row r="81">
      <x:c r="A81" s="1"/>
      <x:c r="B81" s="1"/>
      <x:c r="C81" s="1"/>
      <x:c r="D81" s="1"/>
      <x:c r="E81" s="1"/>
      <x:c r="F81" s="1"/>
      <x:c r="G81" s="1"/>
      <x:c r="H81" s="1"/>
      <x:c r="I81" s="1"/>
      <x:c r="J81" s="1"/>
      <x:c r="K81" s="1"/>
      <x:c r="L81" s="1"/>
      <x:c r="M81" s="1"/>
      <x:c r="N81" s="1"/>
      <x:c r="O81" s="1"/>
      <x:c r="P81" s="1"/>
      <x:c r="Q81" s="1"/>
      <x:c r="R81" s="1"/>
      <x:c r="S81" s="1"/>
      <x:c r="T81" s="1"/>
    </x:row>
    <x:row r="82">
      <x:c r="A82" s="1"/>
      <x:c r="B82" s="1"/>
      <x:c r="C82" s="1"/>
      <x:c r="D82" s="1"/>
      <x:c r="E82" s="1"/>
      <x:c r="F82" s="1"/>
      <x:c r="G82" s="1"/>
      <x:c r="H82" s="1"/>
      <x:c r="I82" s="1"/>
      <x:c r="J82" s="1"/>
      <x:c r="K82" s="1"/>
      <x:c r="L82" s="1"/>
      <x:c r="M82" s="1"/>
      <x:c r="N82" s="1"/>
      <x:c r="O82" s="1"/>
      <x:c r="P82" s="1"/>
      <x:c r="Q82" s="1"/>
      <x:c r="R82" s="1"/>
      <x:c r="S82" s="1"/>
      <x:c r="T82" s="1"/>
    </x:row>
    <x:row r="83">
      <x:c r="A83" s="1"/>
      <x:c r="B83" s="1"/>
      <x:c r="C83" s="1"/>
      <x:c r="D83" s="1"/>
      <x:c r="E83" s="1"/>
      <x:c r="F83" s="1"/>
      <x:c r="G83" s="1"/>
      <x:c r="H83" s="1"/>
      <x:c r="I83" s="1"/>
      <x:c r="J83" s="1"/>
      <x:c r="K83" s="1"/>
      <x:c r="L83" s="1"/>
      <x:c r="M83" s="1"/>
      <x:c r="N83" s="1"/>
      <x:c r="O83" s="1"/>
      <x:c r="P83" s="1"/>
      <x:c r="Q83" s="1"/>
      <x:c r="R83" s="1"/>
      <x:c r="S83" s="1"/>
      <x:c r="T83" s="1"/>
    </x:row>
    <x:row r="84">
      <x:c r="A84" s="1"/>
      <x:c r="B84" s="1"/>
      <x:c r="C84" s="1"/>
      <x:c r="D84" s="1"/>
      <x:c r="E84" s="1"/>
      <x:c r="F84" s="1"/>
      <x:c r="G84" s="1"/>
      <x:c r="H84" s="1"/>
      <x:c r="I84" s="1"/>
      <x:c r="J84" s="1"/>
      <x:c r="K84" s="1"/>
      <x:c r="L84" s="1"/>
      <x:c r="M84" s="1"/>
      <x:c r="N84" s="1"/>
      <x:c r="O84" s="1"/>
      <x:c r="P84" s="1"/>
      <x:c r="Q84" s="1"/>
      <x:c r="R84" s="1"/>
      <x:c r="S84" s="1"/>
      <x:c r="T84" s="1"/>
    </x:row>
    <x:row r="85">
      <x:c r="A85" s="1"/>
      <x:c r="B85" s="1"/>
      <x:c r="C85" s="1"/>
      <x:c r="D85" s="1"/>
      <x:c r="E85" s="1"/>
      <x:c r="F85" s="1"/>
      <x:c r="G85" s="1"/>
      <x:c r="H85" s="1"/>
      <x:c r="I85" s="1"/>
      <x:c r="J85" s="1"/>
      <x:c r="K85" s="1"/>
      <x:c r="L85" s="1"/>
      <x:c r="M85" s="1"/>
      <x:c r="N85" s="1"/>
      <x:c r="O85" s="1"/>
      <x:c r="P85" s="1"/>
      <x:c r="Q85" s="1"/>
      <x:c r="R85" s="1"/>
      <x:c r="S85" s="1"/>
      <x:c r="T85" s="1"/>
    </x:row>
    <x:row r="86">
      <x:c r="A86" s="1"/>
      <x:c r="B86" s="1"/>
      <x:c r="C86" s="1"/>
      <x:c r="D86" s="1"/>
      <x:c r="E86" s="1"/>
      <x:c r="F86" s="1"/>
      <x:c r="G86" s="1"/>
      <x:c r="H86" s="1"/>
      <x:c r="I86" s="1"/>
      <x:c r="J86" s="1"/>
      <x:c r="K86" s="1"/>
      <x:c r="L86" s="1"/>
      <x:c r="M86" s="1"/>
      <x:c r="N86" s="1"/>
      <x:c r="O86" s="1"/>
      <x:c r="P86" s="1"/>
      <x:c r="Q86" s="1"/>
      <x:c r="R86" s="1"/>
      <x:c r="S86" s="1"/>
      <x:c r="T86" s="1"/>
    </x:row>
    <x:row r="87">
      <x:c r="A87" s="1"/>
      <x:c r="B87" s="1"/>
      <x:c r="C87" s="1"/>
      <x:c r="D87" s="1"/>
      <x:c r="E87" s="1"/>
      <x:c r="F87" s="1"/>
      <x:c r="G87" s="1"/>
      <x:c r="H87" s="1"/>
      <x:c r="I87" s="1"/>
      <x:c r="J87" s="1"/>
      <x:c r="K87" s="1"/>
      <x:c r="L87" s="1"/>
      <x:c r="M87" s="1"/>
      <x:c r="N87" s="1"/>
      <x:c r="O87" s="1"/>
      <x:c r="P87" s="1"/>
      <x:c r="Q87" s="1"/>
      <x:c r="R87" s="1"/>
      <x:c r="S87" s="1"/>
      <x:c r="T87" s="1"/>
    </x:row>
    <x:row r="88">
      <x:c r="A88" s="1"/>
      <x:c r="B88" s="1"/>
      <x:c r="C88" s="1"/>
      <x:c r="D88" s="1"/>
      <x:c r="E88" s="1"/>
      <x:c r="F88" s="1"/>
      <x:c r="G88" s="1"/>
      <x:c r="H88" s="1"/>
      <x:c r="I88" s="1"/>
      <x:c r="J88" s="1"/>
      <x:c r="K88" s="1"/>
      <x:c r="L88" s="1"/>
      <x:c r="M88" s="1"/>
      <x:c r="N88" s="1"/>
      <x:c r="O88" s="1"/>
      <x:c r="P88" s="1"/>
      <x:c r="Q88" s="1"/>
      <x:c r="R88" s="1"/>
      <x:c r="S88" s="1"/>
      <x:c r="T88" s="1"/>
    </x:row>
    <x:row r="89">
      <x:c r="A89" s="1"/>
      <x:c r="B89" s="1"/>
      <x:c r="C89" s="1"/>
      <x:c r="D89" s="1"/>
      <x:c r="E89" s="1"/>
      <x:c r="F89" s="1"/>
      <x:c r="G89" s="1"/>
      <x:c r="H89" s="1"/>
      <x:c r="I89" s="1"/>
      <x:c r="J89" s="1"/>
      <x:c r="K89" s="1"/>
      <x:c r="L89" s="1"/>
      <x:c r="M89" s="1"/>
      <x:c r="N89" s="1"/>
      <x:c r="O89" s="1"/>
      <x:c r="P89" s="1"/>
      <x:c r="Q89" s="1"/>
      <x:c r="R89" s="1"/>
      <x:c r="S89" s="1"/>
      <x:c r="T89" s="1"/>
    </x:row>
    <x:row r="90">
      <x:c r="A90" s="1"/>
      <x:c r="B90" s="1"/>
      <x:c r="C90" s="1"/>
      <x:c r="D90" s="1"/>
      <x:c r="E90" s="1"/>
      <x:c r="F90" s="1"/>
      <x:c r="G90" s="1"/>
      <x:c r="H90" s="1"/>
      <x:c r="I90" s="1"/>
      <x:c r="J90" s="1"/>
      <x:c r="K90" s="1"/>
      <x:c r="L90" s="1"/>
      <x:c r="M90" s="1"/>
      <x:c r="N90" s="1"/>
      <x:c r="O90" s="1"/>
      <x:c r="P90" s="1"/>
      <x:c r="Q90" s="1"/>
      <x:c r="R90" s="1"/>
      <x:c r="S90" s="1"/>
      <x:c r="T90" s="1"/>
    </x:row>
  </x:sheetData>
  <x:mergeCells>
    <x:mergeCell ref="A2:J2"/>
    <x:mergeCell ref="A3:J3"/>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7" hidden="0" customWidth="1"/>
    <x:col min="2" max="2" width="14" hidden="0" customWidth="1"/>
    <x:col min="3" max="3" width="17" hidden="0" customWidth="1"/>
    <x:col min="4" max="4" width="17" hidden="0" customWidth="1"/>
    <x:col min="5" max="5" width="17" hidden="0" customWidth="1"/>
    <x:col min="6" max="6" width="19" hidden="0" customWidth="1"/>
    <x:col min="7" max="7" width="37" hidden="0" customWidth="1"/>
    <x:col min="8" max="8" width="29" hidden="0" customWidth="1"/>
  </x:cols>
  <x:sheetData>
    <x:row r="1" ht="10" customHeight="1">
      <x:c r="A1" s="76"/>
      <x:c r="B1" s="77"/>
      <x:c r="C1" s="77"/>
      <x:c r="D1" s="77"/>
      <x:c r="E1" s="77"/>
      <x:c r="F1" s="77"/>
      <x:c r="G1" s="77"/>
      <x:c r="H1" s="78"/>
    </x:row>
    <x:row r="2" ht="34" customHeight="1">
      <x:c r="A2" s="82" t="str">
        <x:v>Eligible work and steady-state capacity</x:v>
      </x:c>
      <x:c r="B2" s="72"/>
      <x:c r="C2" s="72"/>
      <x:c r="D2" s="72"/>
      <x:c r="E2" s="72"/>
      <x:c r="F2" s="72"/>
      <x:c r="G2" s="72"/>
      <x:c r="H2" s="69"/>
    </x:row>
    <x:row r="3" ht="25" customHeight="1">
      <x:c r="A3" s="83" t="str">
        <x:v>Use non-overlapping work packages. Reduction and effective adoption are applied once.</x:v>
      </x:c>
      <x:c r="B3" s="72"/>
      <x:c r="C3" s="72"/>
      <x:c r="D3" s="72"/>
      <x:c r="E3" s="72"/>
      <x:c r="F3" s="72"/>
      <x:c r="G3" s="72"/>
      <x:c r="H3" s="69"/>
    </x:row>
    <x:row r="4" ht="10" customHeight="1">
      <x:c r="A4" s="67"/>
      <x:c r="B4" s="72"/>
      <x:c r="C4" s="72"/>
      <x:c r="D4" s="72"/>
      <x:c r="E4" s="72"/>
      <x:c r="F4" s="72"/>
      <x:c r="G4" s="72"/>
      <x:c r="H4" s="69"/>
    </x:row>
    <x:row r="5" ht="44" customHeight="1">
      <x:c r="A5" s="90" t="str">
        <x:v>Workstream / ID</x:v>
      </x:c>
      <x:c r="B5" s="91" t="str">
        <x:v>Annual tasks</x:v>
      </x:c>
      <x:c r="C5" s="91" t="str">
        <x:v>Baseline min / task</x:v>
      </x:c>
      <x:c r="D5" s="91" t="str">
        <x:v>Future min / task</x:v>
      </x:c>
      <x:c r="E5" s="91" t="str">
        <x:v>Hours saved</x:v>
      </x:c>
      <x:c r="F5" s="91" t="str">
        <x:v>Capacity value</x:v>
      </x:c>
      <x:c r="G5" s="91" t="str">
        <x:v>Source / measurement period</x:v>
      </x:c>
      <x:c r="H5" s="92" t="str">
        <x:v>Evidence status / owner</x:v>
      </x:c>
    </x:row>
    <x:row r="6" ht="42" customHeight="1">
      <x:c r="A6" s="178" t="str">
        <x:v>Proposal requirements and evidence preparation</x:v>
      </x:c>
      <x:c r="B6" s="181" t="n">
        <x:v>288</x:v>
      </x:c>
      <x:c r="C6" s="181" t="n">
        <x:v>840</x:v>
      </x:c>
      <x:c r="D6" s="70" t="n">
        <x:f>IF(A6="","",IF(AND(ISNUMBER(C6),ISNUMBER('Inputs'!D29)),IF(OR(C6&lt;0,'Inputs'!D29&lt;0,'Inputs'!D29&gt;1),"Invalid input",C6*(1-'Inputs'!D29)),"Missing input"))</x:f>
        <x:v>546</x:v>
      </x:c>
      <x:c r="E6" s="68" t="n">
        <x:f>IF(A6="","",IF(AND(COUNT(B6:D6)=3,ISNUMBER('Inputs'!D30)),IF(OR(B6&lt;0,C6&lt;0,'Inputs'!D30&lt;0,'Inputs'!D30&gt;1),"Invalid input",B6*(C6-D6)/60*'Inputs'!D30),"Missing input"))</x:f>
        <x:v>987.8399999999999</x:v>
      </x:c>
      <x:c r="F6" s="218" t="n">
        <x:f>IF(A6="","",IF(AND(ISNUMBER(E6),ISNUMBER('Inputs'!D31),ISNUMBER('Inputs'!B20)),IF(OR('Inputs'!D31&lt;0,'Inputs'!D31&gt;1,'Inputs'!B20&lt;0),"Invalid input",E6*'Inputs'!D31*'Inputs'!B20),"Missing input"))</x:f>
        <x:v>83966.4</x:v>
      </x:c>
      <x:c r="G6" s="232" t="str">
        <x:v>AsterVale_Opportunity_Brief.md | Snapshot 2026-10-01, §6 | 24 packages/month × 12; 14 h/task</x:v>
      </x:c>
      <x:c r="H6" s="233" t="str">
        <x:v>Reviewed work log; reduction/adoption are assumptions</x:v>
      </x:c>
    </x:row>
    <x:row r="7" ht="42" customHeight="1">
      <x:c r="A7" s="178" t="str">
        <x:v>Client briefing preparation</x:v>
      </x:c>
      <x:c r="B7" s="181" t="n">
        <x:v>960</x:v>
      </x:c>
      <x:c r="C7" s="181" t="n">
        <x:v>180</x:v>
      </x:c>
      <x:c r="D7" s="94" t="n">
        <x:f>IF(A7="","",IF(AND(ISNUMBER(C7),ISNUMBER('Inputs'!D29)),IF(OR(C7&lt;0,'Inputs'!D29&lt;0,'Inputs'!D29&gt;1),"Invalid input",C7*(1-'Inputs'!D29)),"Missing input"))</x:f>
        <x:v>117</x:v>
      </x:c>
      <x:c r="E7" s="149" t="n">
        <x:f>IF(A7="","",IF(AND(COUNT(B7:D7)=3,ISNUMBER('Inputs'!D30)),IF(OR(B7&lt;0,C7&lt;0,'Inputs'!D30&lt;0,'Inputs'!D30&gt;1),"Invalid input",B7*(C7-D7)/60*'Inputs'!D30),"Missing input"))</x:f>
        <x:v>705.5999999999999</x:v>
      </x:c>
      <x:c r="F7" s="219" t="n">
        <x:f>IF(A7="","",IF(AND(ISNUMBER(E7),ISNUMBER('Inputs'!D31),ISNUMBER('Inputs'!B20)),IF(OR('Inputs'!D31&lt;0,'Inputs'!D31&gt;1,'Inputs'!B20&lt;0),"Invalid input",E7*'Inputs'!D31*'Inputs'!B20),"Missing input"))</x:f>
        <x:v>59975.99999999999</x:v>
      </x:c>
      <x:c r="G7" s="232" t="str">
        <x:v>AsterVale_Opportunity_Brief.md | Snapshot 2026-10-01, §6 | 80 packages/month × 12; 3 h/task</x:v>
      </x:c>
      <x:c r="H7" s="233" t="str">
        <x:v>Reviewed activity records; reduction/adoption are assumptions</x:v>
      </x:c>
    </x:row>
    <x:row r="8" ht="42" customHeight="1">
      <x:c r="A8" s="178" t="str">
        <x:v>Presentation assembly and format review</x:v>
      </x:c>
      <x:c r="B8" s="181" t="n">
        <x:v>576</x:v>
      </x:c>
      <x:c r="C8" s="181" t="n">
        <x:v>300</x:v>
      </x:c>
      <x:c r="D8" s="70" t="n">
        <x:f>IF(A8="","",IF(AND(ISNUMBER(C8),ISNUMBER('Inputs'!D29)),IF(OR(C8&lt;0,'Inputs'!D29&lt;0,'Inputs'!D29&gt;1),"Invalid input",C8*(1-'Inputs'!D29)),"Missing input"))</x:f>
        <x:v>195</x:v>
      </x:c>
      <x:c r="E8" s="68" t="n">
        <x:f>IF(A8="","",IF(AND(COUNT(B8:D8)=3,ISNUMBER('Inputs'!D30)),IF(OR(B8&lt;0,C8&lt;0,'Inputs'!D30&lt;0,'Inputs'!D30&gt;1),"Invalid input",B8*(C8-D8)/60*'Inputs'!D30),"Missing input"))</x:f>
        <x:v>705.5999999999999</x:v>
      </x:c>
      <x:c r="F8" s="218" t="n">
        <x:f>IF(A8="","",IF(AND(ISNUMBER(E8),ISNUMBER('Inputs'!D31),ISNUMBER('Inputs'!B20)),IF(OR('Inputs'!D31&lt;0,'Inputs'!D31&gt;1,'Inputs'!B20&lt;0),"Invalid input",E8*'Inputs'!D31*'Inputs'!B20),"Missing input"))</x:f>
        <x:v>59975.99999999999</x:v>
      </x:c>
      <x:c r="G8" s="232" t="str">
        <x:v>AsterVale_Opportunity_Brief.md | Snapshot 2026-10-01, §6 | 48 packages/month × 12; 5 h/task</x:v>
      </x:c>
      <x:c r="H8" s="233" t="str">
        <x:v>Reviewed production log; categories non-overlapping</x:v>
      </x:c>
    </x:row>
    <x:row r="9" ht="40" customHeight="1">
      <x:c r="A9" s="178"/>
      <x:c r="B9" s="181"/>
      <x:c r="C9" s="181"/>
      <x:c r="D9" s="94" t="str">
        <x:f>IF(A9="","",IF(AND(ISNUMBER(C9),ISNUMBER('Inputs'!D29)),IF(OR(C9&lt;0,'Inputs'!D29&lt;0,'Inputs'!D29&gt;1),"Invalid input",C9*(1-'Inputs'!D29)),"Missing input"))</x:f>
      </x:c>
      <x:c r="E9" s="149" t="str">
        <x:f>IF(A9="","",IF(AND(COUNT(B9:D9)=3,ISNUMBER('Inputs'!D30)),IF(OR(B9&lt;0,C9&lt;0,'Inputs'!D30&lt;0,'Inputs'!D30&gt;1),"Invalid input",B9*(C9-D9)/60*'Inputs'!D30),"Missing input"))</x:f>
      </x:c>
      <x:c r="F9" s="219" t="str">
        <x:f>IF(A9="","",IF(AND(ISNUMBER(E9),ISNUMBER('Inputs'!D31),ISNUMBER('Inputs'!B20)),IF(OR('Inputs'!D31&lt;0,'Inputs'!D31&gt;1,'Inputs'!B20&lt;0),"Invalid input",E9*'Inputs'!D31*'Inputs'!B20),"Missing input"))</x:f>
      </x:c>
      <x:c r="G9" s="184"/>
      <x:c r="H9" s="187"/>
    </x:row>
    <x:row r="10" ht="40" customHeight="1">
      <x:c r="A10" s="178"/>
      <x:c r="B10" s="181"/>
      <x:c r="C10" s="181"/>
      <x:c r="D10" s="70" t="str">
        <x:f>IF(A10="","",IF(AND(ISNUMBER(C10),ISNUMBER('Inputs'!D29)),IF(OR(C10&lt;0,'Inputs'!D29&lt;0,'Inputs'!D29&gt;1),"Invalid input",C10*(1-'Inputs'!D29)),"Missing input"))</x:f>
      </x:c>
      <x:c r="E10" s="68" t="str">
        <x:f>IF(A10="","",IF(AND(COUNT(B10:D10)=3,ISNUMBER('Inputs'!D30)),IF(OR(B10&lt;0,C10&lt;0,'Inputs'!D30&lt;0,'Inputs'!D30&gt;1),"Invalid input",B10*(C10-D10)/60*'Inputs'!D30),"Missing input"))</x:f>
      </x:c>
      <x:c r="F10" s="218" t="str">
        <x:f>IF(A10="","",IF(AND(ISNUMBER(E10),ISNUMBER('Inputs'!D31),ISNUMBER('Inputs'!B20)),IF(OR('Inputs'!D31&lt;0,'Inputs'!D31&gt;1,'Inputs'!B20&lt;0),"Invalid input",E10*'Inputs'!D31*'Inputs'!B20),"Missing input"))</x:f>
      </x:c>
      <x:c r="G10" s="184"/>
      <x:c r="H10" s="187"/>
    </x:row>
    <x:row r="11" ht="40" customHeight="1">
      <x:c r="A11" s="178"/>
      <x:c r="B11" s="181"/>
      <x:c r="C11" s="181"/>
      <x:c r="D11" s="94" t="str">
        <x:f>IF(A11="","",IF(AND(ISNUMBER(C11),ISNUMBER('Inputs'!D29)),IF(OR(C11&lt;0,'Inputs'!D29&lt;0,'Inputs'!D29&gt;1),"Invalid input",C11*(1-'Inputs'!D29)),"Missing input"))</x:f>
      </x:c>
      <x:c r="E11" s="149" t="str">
        <x:f>IF(A11="","",IF(AND(COUNT(B11:D11)=3,ISNUMBER('Inputs'!D30)),IF(OR(B11&lt;0,C11&lt;0,'Inputs'!D30&lt;0,'Inputs'!D30&gt;1),"Invalid input",B11*(C11-D11)/60*'Inputs'!D30),"Missing input"))</x:f>
      </x:c>
      <x:c r="F11" s="219" t="str">
        <x:f>IF(A11="","",IF(AND(ISNUMBER(E11),ISNUMBER('Inputs'!D31),ISNUMBER('Inputs'!B20)),IF(OR('Inputs'!D31&lt;0,'Inputs'!D31&gt;1,'Inputs'!B20&lt;0),"Invalid input",E11*'Inputs'!D31*'Inputs'!B20),"Missing input"))</x:f>
      </x:c>
      <x:c r="G11" s="184"/>
      <x:c r="H11" s="187"/>
    </x:row>
    <x:row r="12" ht="10" customHeight="1">
      <x:c r="A12" s="64"/>
      <x:c r="B12" s="70"/>
      <x:c r="C12" s="70"/>
      <x:c r="D12" s="70"/>
      <x:c r="E12" s="68"/>
      <x:c r="F12" s="218"/>
      <x:c r="G12" s="72"/>
      <x:c r="H12" s="69"/>
    </x:row>
    <x:row r="13" ht="10" customHeight="1">
      <x:c r="A13" s="100"/>
      <x:c r="B13" s="94"/>
      <x:c r="C13" s="94"/>
      <x:c r="D13" s="94"/>
      <x:c r="E13" s="149"/>
      <x:c r="F13" s="219"/>
      <x:c r="G13" s="96"/>
      <x:c r="H13" s="95"/>
    </x:row>
    <x:row r="14" ht="48" customHeight="1">
      <x:c r="A14" s="193" t="str">
        <x:v>Steady-state annual total</x:v>
      </x:c>
      <x:c r="B14" s="194"/>
      <x:c r="C14" s="194"/>
      <x:c r="D14" s="194"/>
      <x:c r="E14" s="195" t="n">
        <x:f>IF(COUNTA(A6:A11)=0,"Not calculated",IF(COUNT(E6:E11)=COUNTA(A6:A11),SUM(E6:E11),"Incomplete"))</x:f>
        <x:v>2399.04</x:v>
      </x:c>
      <x:c r="F14" s="234" t="n">
        <x:f>IF(COUNTA(A6:A11)=0,"Not calculated",IF(COUNT(F6:F11)=COUNTA(A6:A11),SUM(F6:F11),"Incomplete"))</x:f>
        <x:v>203918.4</x:v>
      </x:c>
      <x:c r="G14" s="196" t="str">
        <x:v>Before Year 1 implementation ramp; never present this as realized Year 1 benefit</x:v>
      </x:c>
      <x:c r="H14" s="197"/>
    </x:row>
    <x:row r="15" ht="10" customHeight="1">
      <x:c r="A15" s="100"/>
      <x:c r="B15" s="96"/>
      <x:c r="C15" s="96"/>
      <x:c r="D15" s="96"/>
      <x:c r="E15" s="96"/>
      <x:c r="F15" s="96"/>
      <x:c r="G15" s="96"/>
      <x:c r="H15" s="95"/>
    </x:row>
    <x:row r="16" ht="10" customHeight="1">
      <x:c r="A16" s="64"/>
      <x:c r="B16" s="72"/>
      <x:c r="C16" s="72"/>
      <x:c r="D16" s="72"/>
      <x:c r="E16" s="72"/>
      <x:c r="F16" s="72"/>
      <x:c r="G16" s="72"/>
      <x:c r="H16" s="69"/>
    </x:row>
    <x:row r="17" ht="66" customHeight="1">
      <x:c r="A17" s="101" t="str">
        <x:v>Workstream overlap review</x:v>
      </x:c>
      <x:c r="B17" s="98"/>
      <x:c r="C17" s="98"/>
      <x:c r="D17" s="98"/>
      <x:c r="E17" s="98"/>
      <x:c r="F17" s="98"/>
      <x:c r="G17" s="98" t="str">
        <x:v>Each task must appear once. Remove overlapping preparation/review steps before summing; confirm source periods and units.</x:v>
      </x:c>
      <x:c r="H17" s="187"/>
    </x:row>
    <x:row r="18">
      <x:c r="A18" s="1"/>
      <x:c r="B18" s="1"/>
      <x:c r="C18" s="1"/>
      <x:c r="D18" s="1"/>
      <x:c r="E18" s="1"/>
      <x:c r="F18" s="1"/>
      <x:c r="G18" s="1"/>
      <x:c r="H18" s="1"/>
    </x:row>
    <x:row r="19">
      <x:c r="A19" s="1"/>
      <x:c r="B19" s="1"/>
      <x:c r="C19" s="1"/>
      <x:c r="D19" s="1"/>
      <x:c r="E19" s="1"/>
      <x:c r="F19" s="1"/>
      <x:c r="G19" s="1"/>
      <x:c r="H19" s="1"/>
    </x:row>
    <x:row r="20" ht="32" customHeight="1">
      <x:c r="A20" s="277" t="str">
        <x:v>Year 1 productive-use sensitivity</x:v>
      </x:c>
      <x:c r="B20" s="277"/>
      <x:c r="C20" s="277"/>
      <x:c r="D20" s="277"/>
      <x:c r="E20" s="277"/>
      <x:c r="F20" s="277"/>
      <x:c r="G20" s="277"/>
      <x:c r="H20" s="277"/>
    </x:row>
    <x:row r="21" ht="58" customHeight="1">
      <x:c r="A21" s="296" t="str">
        <x:v>Year 1 capacity at 100% productive use</x:v>
      </x:c>
      <x:c r="B21" s="296"/>
      <x:c r="C21" s="296"/>
      <x:c r="D21" s="296"/>
      <x:c r="E21" s="325" t="n">
        <x:f>IF(AND(ISNUMBER(E14),COUNT('Inputs'!B37:B48)=12),E14*SUM('Inputs'!B37:B48)/12,"Not calculated")</x:f>
        <x:v>1699.32</x:v>
      </x:c>
      <x:c r="F21" s="306" t="n">
        <x:f>IF(AND(ISNUMBER(E21),ISNUMBER('Inputs'!B20)),E21*'Inputs'!B20,"Not calculated")</x:f>
        <x:v>144442.19999999998</x:v>
      </x:c>
      <x:c r="G21" s="299" t="str">
        <x:v>E: hours released after ramp; F: value at 100% productive use. Active reduction and adoption are unchanged.</x:v>
      </x:c>
      <x:c r="H21" s="299"/>
    </x:row>
    <x:row r="22" ht="58" customHeight="1">
      <x:c r="A22" s="285" t="str">
        <x:v>Productive-use test: capacity value</x:v>
      </x:c>
      <x:c r="B22" s="285"/>
      <x:c r="C22" s="285"/>
      <x:c r="D22" s="285"/>
      <x:c r="E22" s="302" t="n">
        <x:f>'Inputs'!B26</x:f>
        <x:v>0.75</x:v>
      </x:c>
      <x:c r="F22" s="284" t="n">
        <x:f>IF(AND(ISNUMBER(F21),ISNUMBER(E22)),IF(AND(E22&gt;=0,E22&lt;=1),F21*E22,"Invalid productive use"),"Not calculated")</x:f>
        <x:v>108331.65</x:v>
      </x:c>
      <x:c r="G22" s="288" t="str">
        <x:v>One-factor test. Productive-use share is editable in Inputs!B26.</x:v>
      </x:c>
      <x:c r="H22" s="288"/>
    </x:row>
    <x:row r="23" ht="58" customHeight="1">
      <x:c r="A23" s="296" t="str">
        <x:v>Productive-use test: net economic benefit</x:v>
      </x:c>
      <x:c r="B23" s="296"/>
      <x:c r="C23" s="296"/>
      <x:c r="D23" s="296"/>
      <x:c r="E23" s="294"/>
      <x:c r="F23" s="306" t="n">
        <x:f>IF(AND(ISNUMBER(F22),COUNT('Cashflow'!F6:F17,'Cashflow'!T6:T17,'Cashflow'!L6:L17)=36),F22+SUM('Cashflow'!F6:F17)-SUM('Cashflow'!T6:T17)-SUM('Cashflow'!L6:L17),"Not calculated")</x:f>
        <x:v>-2488.350000000006</x:v>
      </x:c>
      <x:c r="G23" s="299" t="str">
        <x:v>Test capacity value plus modeled cash savings, less overlap and economic cost.</x:v>
      </x:c>
      <x:c r="H23" s="299"/>
    </x:row>
    <x:row r="24" ht="58" customHeight="1">
      <x:c r="A24" s="285" t="str">
        <x:v>Minimum productive use for economic break-even</x:v>
      </x:c>
      <x:c r="B24" s="285"/>
      <x:c r="C24" s="285"/>
      <x:c r="D24" s="285"/>
      <x:c r="E24" s="283"/>
      <x:c r="F24" s="302" t="n">
        <x:f>IF(AND(ISNUMBER(F21),COUNT('Cashflow'!F6:F17,'Cashflow'!T6:T17,'Cashflow'!L6:L17)=36),IF(F21&gt;0,MAX(0,(SUM('Cashflow'!L6:L17)-SUM('Cashflow'!F6:F17)+SUM('Cashflow'!T6:T17))/F21),"n.a."),"Not calculated")</x:f>
        <x:v>0.7672273061473726</x:v>
      </x:c>
      <x:c r="G24" s="288" t="str">
        <x:v>Holding other drivers fixed. A result above 100% cannot be achieved through productive use alone.</x:v>
      </x:c>
      <x:c r="H24" s="288"/>
    </x:row>
    <x:row r="25">
      <x:c r="A25" s="1"/>
      <x:c r="B25" s="1"/>
      <x:c r="C25" s="1"/>
      <x:c r="D25" s="1"/>
      <x:c r="E25" s="1"/>
      <x:c r="F25" s="1"/>
      <x:c r="G25" s="1"/>
      <x:c r="H25" s="1"/>
    </x:row>
    <x:row r="26">
      <x:c r="A26" s="1"/>
      <x:c r="B26" s="1"/>
      <x:c r="C26" s="1"/>
      <x:c r="D26" s="1"/>
      <x:c r="E26" s="1"/>
      <x:c r="F26" s="1"/>
      <x:c r="G26" s="1"/>
      <x:c r="H26" s="1"/>
    </x:row>
    <x:row r="27">
      <x:c r="A27" s="1"/>
      <x:c r="B27" s="1"/>
      <x:c r="C27" s="1"/>
      <x:c r="D27" s="1"/>
      <x:c r="E27" s="1"/>
      <x:c r="F27" s="1"/>
      <x:c r="G27" s="1"/>
      <x:c r="H27" s="1"/>
    </x:row>
    <x:row r="28">
      <x:c r="A28" s="1"/>
      <x:c r="B28" s="1"/>
      <x:c r="C28" s="1"/>
      <x:c r="D28" s="1"/>
      <x:c r="E28" s="1"/>
      <x:c r="F28" s="1"/>
      <x:c r="G28" s="1"/>
      <x:c r="H28" s="1"/>
    </x:row>
    <x:row r="29">
      <x:c r="A29" s="1"/>
      <x:c r="B29" s="1"/>
      <x:c r="C29" s="1"/>
      <x:c r="D29" s="1"/>
      <x:c r="E29" s="1"/>
      <x:c r="F29" s="1"/>
      <x:c r="G29" s="1"/>
      <x:c r="H29" s="1"/>
    </x:row>
    <x:row r="30">
      <x:c r="A30" s="1"/>
      <x:c r="B30" s="1"/>
      <x:c r="C30" s="1"/>
      <x:c r="D30" s="1"/>
      <x:c r="E30" s="1"/>
      <x:c r="F30" s="1"/>
      <x:c r="G30" s="1"/>
      <x:c r="H30" s="1"/>
    </x:row>
    <x:row r="31">
      <x:c r="A31" s="1"/>
      <x:c r="B31" s="1"/>
      <x:c r="C31" s="1"/>
      <x:c r="D31" s="1"/>
      <x:c r="E31" s="1"/>
      <x:c r="F31" s="1"/>
      <x:c r="G31" s="1"/>
      <x:c r="H31" s="1"/>
    </x:row>
    <x:row r="32">
      <x:c r="A32" s="1"/>
      <x:c r="B32" s="1"/>
      <x:c r="C32" s="1"/>
      <x:c r="D32" s="1"/>
      <x:c r="E32" s="1"/>
      <x:c r="F32" s="1"/>
      <x:c r="G32" s="1"/>
      <x:c r="H32" s="1"/>
    </x:row>
    <x:row r="33">
      <x:c r="A33" s="1"/>
      <x:c r="B33" s="1"/>
      <x:c r="C33" s="1"/>
      <x:c r="D33" s="1"/>
      <x:c r="E33" s="1"/>
      <x:c r="F33" s="1"/>
      <x:c r="G33" s="1"/>
      <x:c r="H33" s="1"/>
    </x:row>
    <x:row r="34">
      <x:c r="A34" s="1"/>
      <x:c r="B34" s="1"/>
      <x:c r="C34" s="1"/>
      <x:c r="D34" s="1"/>
      <x:c r="E34" s="1"/>
      <x:c r="F34" s="1"/>
      <x:c r="G34" s="1"/>
      <x:c r="H34" s="1"/>
    </x:row>
    <x:row r="35">
      <x:c r="A35" s="1"/>
      <x:c r="B35" s="1"/>
      <x:c r="C35" s="1"/>
      <x:c r="D35" s="1"/>
      <x:c r="E35" s="1"/>
      <x:c r="F35" s="1"/>
      <x:c r="G35" s="1"/>
      <x:c r="H35" s="1"/>
    </x:row>
    <x:row r="36">
      <x:c r="A36" s="1"/>
      <x:c r="B36" s="1"/>
      <x:c r="C36" s="1"/>
      <x:c r="D36" s="1"/>
      <x:c r="E36" s="1"/>
      <x:c r="F36" s="1"/>
      <x:c r="G36" s="1"/>
      <x:c r="H36" s="1"/>
    </x:row>
    <x:row r="37">
      <x:c r="A37" s="1"/>
      <x:c r="B37" s="1"/>
      <x:c r="C37" s="1"/>
      <x:c r="D37" s="1"/>
      <x:c r="E37" s="1"/>
      <x:c r="F37" s="1"/>
      <x:c r="G37" s="1"/>
      <x:c r="H37" s="1"/>
    </x:row>
    <x:row r="38">
      <x:c r="A38" s="1"/>
      <x:c r="B38" s="1"/>
      <x:c r="C38" s="1"/>
      <x:c r="D38" s="1"/>
      <x:c r="E38" s="1"/>
      <x:c r="F38" s="1"/>
      <x:c r="G38" s="1"/>
      <x:c r="H38" s="1"/>
    </x:row>
    <x:row r="39">
      <x:c r="A39" s="1"/>
      <x:c r="B39" s="1"/>
      <x:c r="C39" s="1"/>
      <x:c r="D39" s="1"/>
      <x:c r="E39" s="1"/>
      <x:c r="F39" s="1"/>
      <x:c r="G39" s="1"/>
      <x:c r="H39" s="1"/>
    </x:row>
    <x:row r="40">
      <x:c r="A40" s="1"/>
      <x:c r="B40" s="1"/>
      <x:c r="C40" s="1"/>
      <x:c r="D40" s="1"/>
      <x:c r="E40" s="1"/>
      <x:c r="F40" s="1"/>
      <x:c r="G40" s="1"/>
      <x:c r="H40" s="1"/>
    </x:row>
    <x:row r="41">
      <x:c r="A41" s="1"/>
      <x:c r="B41" s="1"/>
      <x:c r="C41" s="1"/>
      <x:c r="D41" s="1"/>
      <x:c r="E41" s="1"/>
      <x:c r="F41" s="1"/>
      <x:c r="G41" s="1"/>
      <x:c r="H41" s="1"/>
    </x:row>
    <x:row r="42">
      <x:c r="A42" s="1"/>
      <x:c r="B42" s="1"/>
      <x:c r="C42" s="1"/>
      <x:c r="D42" s="1"/>
      <x:c r="E42" s="1"/>
      <x:c r="F42" s="1"/>
      <x:c r="G42" s="1"/>
      <x:c r="H42" s="1"/>
    </x:row>
    <x:row r="43">
      <x:c r="A43" s="1"/>
      <x:c r="B43" s="1"/>
      <x:c r="C43" s="1"/>
      <x:c r="D43" s="1"/>
      <x:c r="E43" s="1"/>
      <x:c r="F43" s="1"/>
      <x:c r="G43" s="1"/>
      <x:c r="H43" s="1"/>
    </x:row>
    <x:row r="44">
      <x:c r="A44" s="1"/>
      <x:c r="B44" s="1"/>
      <x:c r="C44" s="1"/>
      <x:c r="D44" s="1"/>
      <x:c r="E44" s="1"/>
      <x:c r="F44" s="1"/>
      <x:c r="G44" s="1"/>
      <x:c r="H44" s="1"/>
    </x:row>
    <x:row r="45">
      <x:c r="A45" s="1"/>
      <x:c r="B45" s="1"/>
      <x:c r="C45" s="1"/>
      <x:c r="D45" s="1"/>
      <x:c r="E45" s="1"/>
      <x:c r="F45" s="1"/>
      <x:c r="G45" s="1"/>
      <x:c r="H45" s="1"/>
    </x:row>
    <x:row r="46">
      <x:c r="A46" s="1"/>
      <x:c r="B46" s="1"/>
      <x:c r="C46" s="1"/>
      <x:c r="D46" s="1"/>
      <x:c r="E46" s="1"/>
      <x:c r="F46" s="1"/>
      <x:c r="G46" s="1"/>
      <x:c r="H46" s="1"/>
    </x:row>
    <x:row r="47">
      <x:c r="A47" s="1"/>
      <x:c r="B47" s="1"/>
      <x:c r="C47" s="1"/>
      <x:c r="D47" s="1"/>
      <x:c r="E47" s="1"/>
      <x:c r="F47" s="1"/>
      <x:c r="G47" s="1"/>
      <x:c r="H47" s="1"/>
    </x:row>
    <x:row r="48">
      <x:c r="A48" s="1"/>
      <x:c r="B48" s="1"/>
      <x:c r="C48" s="1"/>
      <x:c r="D48" s="1"/>
      <x:c r="E48" s="1"/>
      <x:c r="F48" s="1"/>
      <x:c r="G48" s="1"/>
      <x:c r="H48" s="1"/>
    </x:row>
    <x:row r="49">
      <x:c r="A49" s="1"/>
      <x:c r="B49" s="1"/>
      <x:c r="C49" s="1"/>
      <x:c r="D49" s="1"/>
      <x:c r="E49" s="1"/>
      <x:c r="F49" s="1"/>
      <x:c r="G49" s="1"/>
      <x:c r="H49" s="1"/>
    </x:row>
    <x:row r="50">
      <x:c r="A50" s="1"/>
      <x:c r="B50" s="1"/>
      <x:c r="C50" s="1"/>
      <x:c r="D50" s="1"/>
      <x:c r="E50" s="1"/>
      <x:c r="F50" s="1"/>
      <x:c r="G50" s="1"/>
      <x:c r="H50" s="1"/>
    </x:row>
    <x:row r="51">
      <x:c r="A51" s="1"/>
      <x:c r="B51" s="1"/>
      <x:c r="C51" s="1"/>
      <x:c r="D51" s="1"/>
      <x:c r="E51" s="1"/>
      <x:c r="F51" s="1"/>
      <x:c r="G51" s="1"/>
      <x:c r="H51" s="1"/>
    </x:row>
    <x:row r="52">
      <x:c r="A52" s="1"/>
      <x:c r="B52" s="1"/>
      <x:c r="C52" s="1"/>
      <x:c r="D52" s="1"/>
      <x:c r="E52" s="1"/>
      <x:c r="F52" s="1"/>
      <x:c r="G52" s="1"/>
      <x:c r="H52" s="1"/>
    </x:row>
    <x:row r="53">
      <x:c r="A53" s="1"/>
      <x:c r="B53" s="1"/>
      <x:c r="C53" s="1"/>
      <x:c r="D53" s="1"/>
      <x:c r="E53" s="1"/>
      <x:c r="F53" s="1"/>
      <x:c r="G53" s="1"/>
      <x:c r="H53" s="1"/>
    </x:row>
    <x:row r="54">
      <x:c r="A54" s="1"/>
      <x:c r="B54" s="1"/>
      <x:c r="C54" s="1"/>
      <x:c r="D54" s="1"/>
      <x:c r="E54" s="1"/>
      <x:c r="F54" s="1"/>
      <x:c r="G54" s="1"/>
      <x:c r="H54" s="1"/>
    </x:row>
    <x:row r="55">
      <x:c r="A55" s="1"/>
      <x:c r="B55" s="1"/>
      <x:c r="C55" s="1"/>
      <x:c r="D55" s="1"/>
      <x:c r="E55" s="1"/>
      <x:c r="F55" s="1"/>
      <x:c r="G55" s="1"/>
      <x:c r="H55" s="1"/>
    </x:row>
    <x:row r="56">
      <x:c r="A56" s="1"/>
      <x:c r="B56" s="1"/>
      <x:c r="C56" s="1"/>
      <x:c r="D56" s="1"/>
      <x:c r="E56" s="1"/>
      <x:c r="F56" s="1"/>
      <x:c r="G56" s="1"/>
      <x:c r="H56" s="1"/>
    </x:row>
    <x:row r="57">
      <x:c r="A57" s="1"/>
      <x:c r="B57" s="1"/>
      <x:c r="C57" s="1"/>
      <x:c r="D57" s="1"/>
      <x:c r="E57" s="1"/>
      <x:c r="F57" s="1"/>
      <x:c r="G57" s="1"/>
      <x:c r="H57" s="1"/>
    </x:row>
    <x:row r="58">
      <x:c r="A58" s="1"/>
      <x:c r="B58" s="1"/>
      <x:c r="C58" s="1"/>
      <x:c r="D58" s="1"/>
      <x:c r="E58" s="1"/>
      <x:c r="F58" s="1"/>
      <x:c r="G58" s="1"/>
      <x:c r="H58" s="1"/>
    </x:row>
    <x:row r="59">
      <x:c r="A59" s="1"/>
      <x:c r="B59" s="1"/>
      <x:c r="C59" s="1"/>
      <x:c r="D59" s="1"/>
      <x:c r="E59" s="1"/>
      <x:c r="F59" s="1"/>
      <x:c r="G59" s="1"/>
      <x:c r="H59" s="1"/>
    </x:row>
    <x:row r="60">
      <x:c r="A60" s="1"/>
      <x:c r="B60" s="1"/>
      <x:c r="C60" s="1"/>
      <x:c r="D60" s="1"/>
      <x:c r="E60" s="1"/>
      <x:c r="F60" s="1"/>
      <x:c r="G60" s="1"/>
      <x:c r="H60" s="1"/>
    </x:row>
    <x:row r="61">
      <x:c r="A61" s="1"/>
      <x:c r="B61" s="1"/>
      <x:c r="C61" s="1"/>
      <x:c r="D61" s="1"/>
      <x:c r="E61" s="1"/>
      <x:c r="F61" s="1"/>
      <x:c r="G61" s="1"/>
      <x:c r="H61" s="1"/>
    </x:row>
    <x:row r="62">
      <x:c r="A62" s="1"/>
      <x:c r="B62" s="1"/>
      <x:c r="C62" s="1"/>
      <x:c r="D62" s="1"/>
      <x:c r="E62" s="1"/>
      <x:c r="F62" s="1"/>
      <x:c r="G62" s="1"/>
      <x:c r="H62" s="1"/>
    </x:row>
    <x:row r="63">
      <x:c r="A63" s="1"/>
      <x:c r="B63" s="1"/>
      <x:c r="C63" s="1"/>
      <x:c r="D63" s="1"/>
      <x:c r="E63" s="1"/>
      <x:c r="F63" s="1"/>
      <x:c r="G63" s="1"/>
      <x:c r="H63" s="1"/>
    </x:row>
    <x:row r="64">
      <x:c r="A64" s="1"/>
      <x:c r="B64" s="1"/>
      <x:c r="C64" s="1"/>
      <x:c r="D64" s="1"/>
      <x:c r="E64" s="1"/>
      <x:c r="F64" s="1"/>
      <x:c r="G64" s="1"/>
      <x:c r="H64" s="1"/>
    </x:row>
    <x:row r="65">
      <x:c r="A65" s="1"/>
      <x:c r="B65" s="1"/>
      <x:c r="C65" s="1"/>
      <x:c r="D65" s="1"/>
      <x:c r="E65" s="1"/>
      <x:c r="F65" s="1"/>
      <x:c r="G65" s="1"/>
      <x:c r="H65" s="1"/>
    </x:row>
    <x:row r="66">
      <x:c r="A66" s="1"/>
      <x:c r="B66" s="1"/>
      <x:c r="C66" s="1"/>
      <x:c r="D66" s="1"/>
      <x:c r="E66" s="1"/>
      <x:c r="F66" s="1"/>
      <x:c r="G66" s="1"/>
      <x:c r="H66" s="1"/>
    </x:row>
    <x:row r="67">
      <x:c r="A67" s="1"/>
      <x:c r="B67" s="1"/>
      <x:c r="C67" s="1"/>
      <x:c r="D67" s="1"/>
      <x:c r="E67" s="1"/>
      <x:c r="F67" s="1"/>
      <x:c r="G67" s="1"/>
      <x:c r="H67" s="1"/>
    </x:row>
    <x:row r="68">
      <x:c r="A68" s="1"/>
      <x:c r="B68" s="1"/>
      <x:c r="C68" s="1"/>
      <x:c r="D68" s="1"/>
      <x:c r="E68" s="1"/>
      <x:c r="F68" s="1"/>
      <x:c r="G68" s="1"/>
      <x:c r="H68" s="1"/>
    </x:row>
    <x:row r="69">
      <x:c r="A69" s="1"/>
      <x:c r="B69" s="1"/>
      <x:c r="C69" s="1"/>
      <x:c r="D69" s="1"/>
      <x:c r="E69" s="1"/>
      <x:c r="F69" s="1"/>
      <x:c r="G69" s="1"/>
      <x:c r="H69" s="1"/>
    </x:row>
    <x:row r="70">
      <x:c r="A70" s="1"/>
      <x:c r="B70" s="1"/>
      <x:c r="C70" s="1"/>
      <x:c r="D70" s="1"/>
      <x:c r="E70" s="1"/>
      <x:c r="F70" s="1"/>
      <x:c r="G70" s="1"/>
      <x:c r="H70" s="1"/>
    </x:row>
    <x:row r="71">
      <x:c r="A71" s="1"/>
      <x:c r="B71" s="1"/>
      <x:c r="C71" s="1"/>
      <x:c r="D71" s="1"/>
      <x:c r="E71" s="1"/>
      <x:c r="F71" s="1"/>
      <x:c r="G71" s="1"/>
      <x:c r="H71" s="1"/>
    </x:row>
    <x:row r="72">
      <x:c r="A72" s="1"/>
      <x:c r="B72" s="1"/>
      <x:c r="C72" s="1"/>
      <x:c r="D72" s="1"/>
      <x:c r="E72" s="1"/>
      <x:c r="F72" s="1"/>
      <x:c r="G72" s="1"/>
      <x:c r="H72" s="1"/>
    </x:row>
    <x:row r="73">
      <x:c r="A73" s="1"/>
      <x:c r="B73" s="1"/>
      <x:c r="C73" s="1"/>
      <x:c r="D73" s="1"/>
      <x:c r="E73" s="1"/>
      <x:c r="F73" s="1"/>
      <x:c r="G73" s="1"/>
      <x:c r="H73" s="1"/>
    </x:row>
    <x:row r="74">
      <x:c r="A74" s="1"/>
      <x:c r="B74" s="1"/>
      <x:c r="C74" s="1"/>
      <x:c r="D74" s="1"/>
      <x:c r="E74" s="1"/>
      <x:c r="F74" s="1"/>
      <x:c r="G74" s="1"/>
      <x:c r="H74" s="1"/>
    </x:row>
    <x:row r="75">
      <x:c r="A75" s="1"/>
      <x:c r="B75" s="1"/>
      <x:c r="C75" s="1"/>
      <x:c r="D75" s="1"/>
      <x:c r="E75" s="1"/>
      <x:c r="F75" s="1"/>
      <x:c r="G75" s="1"/>
      <x:c r="H75" s="1"/>
    </x:row>
    <x:row r="76">
      <x:c r="A76" s="1"/>
      <x:c r="B76" s="1"/>
      <x:c r="C76" s="1"/>
      <x:c r="D76" s="1"/>
      <x:c r="E76" s="1"/>
      <x:c r="F76" s="1"/>
      <x:c r="G76" s="1"/>
      <x:c r="H76" s="1"/>
    </x:row>
    <x:row r="77">
      <x:c r="A77" s="1"/>
      <x:c r="B77" s="1"/>
      <x:c r="C77" s="1"/>
      <x:c r="D77" s="1"/>
      <x:c r="E77" s="1"/>
      <x:c r="F77" s="1"/>
      <x:c r="G77" s="1"/>
      <x:c r="H77" s="1"/>
    </x:row>
    <x:row r="78">
      <x:c r="A78" s="1"/>
      <x:c r="B78" s="1"/>
      <x:c r="C78" s="1"/>
      <x:c r="D78" s="1"/>
      <x:c r="E78" s="1"/>
      <x:c r="F78" s="1"/>
      <x:c r="G78" s="1"/>
      <x:c r="H78" s="1"/>
    </x:row>
    <x:row r="79">
      <x:c r="A79" s="1"/>
      <x:c r="B79" s="1"/>
      <x:c r="C79" s="1"/>
      <x:c r="D79" s="1"/>
      <x:c r="E79" s="1"/>
      <x:c r="F79" s="1"/>
      <x:c r="G79" s="1"/>
      <x:c r="H79" s="1"/>
    </x:row>
    <x:row r="80">
      <x:c r="A80" s="1"/>
      <x:c r="B80" s="1"/>
      <x:c r="C80" s="1"/>
      <x:c r="D80" s="1"/>
      <x:c r="E80" s="1"/>
      <x:c r="F80" s="1"/>
      <x:c r="G80" s="1"/>
      <x:c r="H80" s="1"/>
    </x:row>
    <x:row r="81">
      <x:c r="A81" s="1"/>
      <x:c r="B81" s="1"/>
      <x:c r="C81" s="1"/>
      <x:c r="D81" s="1"/>
      <x:c r="E81" s="1"/>
      <x:c r="F81" s="1"/>
      <x:c r="G81" s="1"/>
      <x:c r="H81" s="1"/>
    </x:row>
    <x:row r="82">
      <x:c r="A82" s="1"/>
      <x:c r="B82" s="1"/>
      <x:c r="C82" s="1"/>
      <x:c r="D82" s="1"/>
      <x:c r="E82" s="1"/>
      <x:c r="F82" s="1"/>
      <x:c r="G82" s="1"/>
      <x:c r="H82" s="1"/>
    </x:row>
    <x:row r="83">
      <x:c r="A83" s="1"/>
      <x:c r="B83" s="1"/>
      <x:c r="C83" s="1"/>
      <x:c r="D83" s="1"/>
      <x:c r="E83" s="1"/>
      <x:c r="F83" s="1"/>
      <x:c r="G83" s="1"/>
      <x:c r="H83" s="1"/>
    </x:row>
    <x:row r="84">
      <x:c r="A84" s="1"/>
      <x:c r="B84" s="1"/>
      <x:c r="C84" s="1"/>
      <x:c r="D84" s="1"/>
      <x:c r="E84" s="1"/>
      <x:c r="F84" s="1"/>
      <x:c r="G84" s="1"/>
      <x:c r="H84" s="1"/>
    </x:row>
    <x:row r="85">
      <x:c r="A85" s="1"/>
      <x:c r="B85" s="1"/>
      <x:c r="C85" s="1"/>
      <x:c r="D85" s="1"/>
      <x:c r="E85" s="1"/>
      <x:c r="F85" s="1"/>
      <x:c r="G85" s="1"/>
      <x:c r="H85" s="1"/>
    </x:row>
    <x:row r="86">
      <x:c r="A86" s="1"/>
      <x:c r="B86" s="1"/>
      <x:c r="C86" s="1"/>
      <x:c r="D86" s="1"/>
      <x:c r="E86" s="1"/>
      <x:c r="F86" s="1"/>
      <x:c r="G86" s="1"/>
      <x:c r="H86" s="1"/>
    </x:row>
    <x:row r="87">
      <x:c r="A87" s="1"/>
      <x:c r="B87" s="1"/>
      <x:c r="C87" s="1"/>
      <x:c r="D87" s="1"/>
      <x:c r="E87" s="1"/>
      <x:c r="F87" s="1"/>
      <x:c r="G87" s="1"/>
      <x:c r="H87" s="1"/>
    </x:row>
    <x:row r="88">
      <x:c r="A88" s="1"/>
      <x:c r="B88" s="1"/>
      <x:c r="C88" s="1"/>
      <x:c r="D88" s="1"/>
      <x:c r="E88" s="1"/>
      <x:c r="F88" s="1"/>
      <x:c r="G88" s="1"/>
      <x:c r="H88" s="1"/>
    </x:row>
    <x:row r="89">
      <x:c r="A89" s="1"/>
      <x:c r="B89" s="1"/>
      <x:c r="C89" s="1"/>
      <x:c r="D89" s="1"/>
      <x:c r="E89" s="1"/>
      <x:c r="F89" s="1"/>
      <x:c r="G89" s="1"/>
      <x:c r="H89" s="1"/>
    </x:row>
    <x:row r="90">
      <x:c r="A90" s="1"/>
      <x:c r="B90" s="1"/>
      <x:c r="C90" s="1"/>
      <x:c r="D90" s="1"/>
      <x:c r="E90" s="1"/>
      <x:c r="F90" s="1"/>
      <x:c r="G90" s="1"/>
      <x:c r="H90" s="1"/>
    </x:row>
  </x:sheetData>
  <x:mergeCells>
    <x:mergeCell ref="A2:H2"/>
    <x:mergeCell ref="A3:H3"/>
    <x:mergeCell ref="A14:D14"/>
    <x:mergeCell ref="G14:H14"/>
    <x:mergeCell ref="A17:F17"/>
    <x:mergeCell ref="G17:H17"/>
    <x:mergeCell ref="A20:H20"/>
    <x:mergeCell ref="A21:D21"/>
    <x:mergeCell ref="G21:H21"/>
    <x:mergeCell ref="A22:D22"/>
    <x:mergeCell ref="G22:H22"/>
    <x:mergeCell ref="A23:D23"/>
    <x:mergeCell ref="G23:H23"/>
    <x:mergeCell ref="A24:D24"/>
    <x:mergeCell ref="G24:H24"/>
  </x:mergeCells>
  <x:pageMargins left="0.7" right="0.7" top="0.75" bottom="0.75" header="0.3" footer="0.3"/>
  <x:legacyDrawing xmlns:r="http://schemas.openxmlformats.org/officeDocument/2006/relationships" r:id="R2f812ac0234d4c08"/>
</x:worksheet>
</file>

<file path=xl/worksheets/sheet4.xml><?xml version="1.0" encoding="utf-8"?>
<x:worksheet xmlns:x="http://schemas.openxmlformats.org/spreadsheetml/2006/main">
  <x:sheetViews>
    <x:sheetView showGridLines="0" workbookViewId="0"/>
  </x:sheetViews>
  <x:sheetFormatPr defaultRowHeight="15"/>
  <x:cols>
    <x:col min="1" max="1" width="30" hidden="0" customWidth="1"/>
    <x:col min="2" max="2" width="18" hidden="0" customWidth="1"/>
    <x:col min="3" max="3" width="18" hidden="0" customWidth="1"/>
    <x:col min="4" max="4" width="18" hidden="0" customWidth="1"/>
    <x:col min="5" max="5" width="38" hidden="0" customWidth="1"/>
    <x:col min="6" max="6" width="30" hidden="0" customWidth="1"/>
    <x:col min="7" max="7" width="21" hidden="0" customWidth="1"/>
  </x:cols>
  <x:sheetData>
    <x:row r="1" ht="10" customHeight="1">
      <x:c r="A1" s="76"/>
      <x:c r="B1" s="77"/>
      <x:c r="C1" s="77"/>
      <x:c r="D1" s="77"/>
      <x:c r="E1" s="77"/>
      <x:c r="F1" s="77"/>
      <x:c r="G1" s="78"/>
    </x:row>
    <x:row r="2" ht="34" customHeight="1">
      <x:c r="A2" s="82" t="str">
        <x:v>Business inputs and assumptions</x:v>
      </x:c>
      <x:c r="B2" s="72"/>
      <x:c r="C2" s="72"/>
      <x:c r="D2" s="72"/>
      <x:c r="E2" s="72"/>
      <x:c r="F2" s="72"/>
      <x:c r="G2" s="69"/>
    </x:row>
    <x:row r="3" ht="33" customHeight="1">
      <x:c r="A3" s="83" t="str">
        <x:v>Yellow cells are inputs. Leave unknown values blank; enter 0 only for a confirmed zero. Record the source and status for each row.</x:v>
      </x:c>
      <x:c r="B3" s="72"/>
      <x:c r="C3" s="72"/>
      <x:c r="D3" s="72"/>
      <x:c r="E3" s="72"/>
      <x:c r="F3" s="72"/>
      <x:c r="G3" s="69"/>
    </x:row>
    <x:row r="4" ht="10" customHeight="1">
      <x:c r="A4" s="67"/>
      <x:c r="B4" s="72"/>
      <x:c r="C4" s="72"/>
      <x:c r="D4" s="72"/>
      <x:c r="E4" s="72"/>
      <x:c r="F4" s="72"/>
      <x:c r="G4" s="69"/>
    </x:row>
    <x:row r="5" ht="30" customHeight="1">
      <x:c r="A5" s="90" t="str">
        <x:v>Input</x:v>
      </x:c>
      <x:c r="B5" s="91" t="str">
        <x:v>Value / Year 1</x:v>
      </x:c>
      <x:c r="C5" s="91" t="str">
        <x:v>Year 2</x:v>
      </x:c>
      <x:c r="D5" s="91" t="str">
        <x:v>Year 3</x:v>
      </x:c>
      <x:c r="E5" s="91" t="str">
        <x:v>Unit / rule</x:v>
      </x:c>
      <x:c r="F5" s="91" t="str">
        <x:v>Source / period / owner</x:v>
      </x:c>
      <x:c r="G5" s="92" t="str">
        <x:v>Evidence status</x:v>
      </x:c>
    </x:row>
    <x:row r="6" ht="36" customHeight="1">
      <x:c r="A6" s="64" t="str">
        <x:v>Customer / opportunity</x:v>
      </x:c>
      <x:c r="B6" s="184" t="str">
        <x:v>AsterVale Advisory Pte. Ltd. — AV-2026-041</x:v>
      </x:c>
      <x:c r="C6" s="72"/>
      <x:c r="D6" s="72"/>
      <x:c r="E6" s="72" t="str">
        <x:v>Identifier</x:v>
      </x:c>
      <x:c r="F6" s="184" t="str">
        <x:v>Opportunity Brief | Header, AV-2026-041</x:v>
      </x:c>
      <x:c r="G6" s="187" t="str">
        <x:v>Internal customer identifier</x:v>
      </x:c>
    </x:row>
    <x:row r="7" ht="36" customHeight="1">
      <x:c r="A7" s="100" t="str">
        <x:v>Model start date</x:v>
      </x:c>
      <x:c r="B7" s="206" t="n">
        <x:v>46357</x:v>
      </x:c>
      <x:c r="C7" s="96"/>
      <x:c r="D7" s="96"/>
      <x:c r="E7" s="96" t="str">
        <x:v>First day of the first subscription month</x:v>
      </x:c>
      <x:c r="F7" s="184" t="str">
        <x:v>Quote | Planned start, 2026-12-01</x:v>
      </x:c>
      <x:c r="G7" s="187" t="str">
        <x:v>Planned only; subject to executed order</x:v>
      </x:c>
    </x:row>
    <x:row r="8" ht="42" customHeight="1">
      <x:c r="A8" s="64" t="str">
        <x:v>Currency</x:v>
      </x:c>
      <x:c r="B8" s="184" t="str">
        <x:v>USD</x:v>
      </x:c>
      <x:c r="C8" s="72"/>
      <x:c r="D8" s="72"/>
      <x:c r="E8" s="72" t="str">
        <x:v>ISO currency; all money inputs in the same currency</x:v>
      </x:c>
      <x:c r="F8" s="184" t="str">
        <x:v>Quote | USD fee schedule</x:v>
      </x:c>
      <x:c r="G8" s="187" t="str">
        <x:v>USD as stated in quote</x:v>
      </x:c>
    </x:row>
    <x:row r="9" ht="42" customHeight="1">
      <x:c r="A9" s="100" t="str">
        <x:v>Tax basis</x:v>
      </x:c>
      <x:c r="B9" s="184" t="str">
        <x:v>USD; tax excluded. Applicable tax is not quantified and must be confirmed separately.</x:v>
      </x:c>
      <x:c r="C9" s="96"/>
      <x:c r="D9" s="96"/>
      <x:c r="E9" s="96" t="str">
        <x:v>State tax excluded or include evidenced nonrecoverable tax in other cash costs</x:v>
      </x:c>
      <x:c r="F9" s="184" t="str">
        <x:v>Quote | Tax excluded; no amount stated</x:v>
      </x:c>
      <x:c r="G9" s="187" t="str">
        <x:v>No tax rate inferred</x:v>
      </x:c>
    </x:row>
    <x:row r="10" ht="78" customHeight="1">
      <x:c r="A10" s="64" t="str">
        <x:v>Annual subscription</x:v>
      </x:c>
      <x:c r="B10" s="235" t="n">
        <x:v>64800</x:v>
      </x:c>
      <x:c r="C10" s="235" t="n">
        <x:v>64800</x:v>
      </x:c>
      <x:c r="D10" s="235" t="n">
        <x:v>64800</x:v>
      </x:c>
      <x:c r="E10" s="72" t="str">
        <x:v>USD/year; cash fee</x:v>
      </x:c>
      <x:c r="F10" s="184" t="str">
        <x:v>Quote | 60 annual seats</x:v>
      </x:c>
      <x:c r="G10" s="187" t="str">
        <x:v>Year 2–3 flat renewal rate is an assumption; quoted estimate, subject to issue-status and contract confirmation</x:v>
      </x:c>
    </x:row>
    <x:row r="11" ht="78" customHeight="1">
      <x:c r="A11" s="100" t="str">
        <x:v>Annual support</x:v>
      </x:c>
      <x:c r="B11" s="235" t="n">
        <x:v>4800</x:v>
      </x:c>
      <x:c r="C11" s="235" t="n">
        <x:v>4800</x:v>
      </x:c>
      <x:c r="D11" s="235" t="n">
        <x:v>4800</x:v>
      </x:c>
      <x:c r="E11" s="96" t="str">
        <x:v>USD/year; cash fee</x:v>
      </x:c>
      <x:c r="F11" s="184" t="str">
        <x:v>Quote | Annual support line</x:v>
      </x:c>
      <x:c r="G11" s="187" t="str">
        <x:v>Year 2–3 flat renewal rate is an assumption; quoted estimate, subject to issue-status and contract confirmation</x:v>
      </x:c>
    </x:row>
    <x:row r="12" ht="55" customHeight="1">
      <x:c r="A12" s="64" t="str">
        <x:v>Other annual cash cost</x:v>
      </x:c>
      <x:c r="B12" s="235" t="n">
        <x:v>0</x:v>
      </x:c>
      <x:c r="C12" s="235" t="n">
        <x:v>0</x:v>
      </x:c>
      <x:c r="D12" s="235" t="n">
        <x:v>0</x:v>
      </x:c>
      <x:c r="E12" s="72" t="str">
        <x:v>USD/year; incremental cash only</x:v>
      </x:c>
      <x:c r="F12" s="184" t="str">
        <x:v>Assumption | None separately evidenced</x:v>
      </x:c>
      <x:c r="G12" s="187" t="str">
        <x:v>Zero pending evidence; tax/add-on Credits excluded</x:v>
      </x:c>
    </x:row>
    <x:row r="13" ht="78" customHeight="1">
      <x:c r="A13" s="100" t="str">
        <x:v>Vendor implementation total</x:v>
      </x:c>
      <x:c r="B13" s="235" t="n">
        <x:v>9600</x:v>
      </x:c>
      <x:c r="C13" s="219"/>
      <x:c r="D13" s="219"/>
      <x:c r="E13" s="96" t="str">
        <x:v>USD; cash fee</x:v>
      </x:c>
      <x:c r="F13" s="184" t="str">
        <x:v>Quote | One-time implementation</x:v>
      </x:c>
      <x:c r="G13" s="187" t="str">
        <x:v>Supplier fee; one-time; quoted estimate, subject to issue-status and contract confirmation</x:v>
      </x:c>
    </x:row>
    <x:row r="14" ht="78" customHeight="1">
      <x:c r="A14" s="64" t="str">
        <x:v>Implementation first payment share</x:v>
      </x:c>
      <x:c r="B14" s="209" t="n">
        <x:v>0.5</x:v>
      </x:c>
      <x:c r="C14" s="70"/>
      <x:c r="D14" s="70"/>
      <x:c r="E14" s="72" t="str">
        <x:v>0–100%; balance paid in the second payment month</x:v>
      </x:c>
      <x:c r="F14" s="184" t="str">
        <x:v>Quote | 50% kickoff / 50% acceptance</x:v>
      </x:c>
      <x:c r="G14" s="187" t="str">
        <x:v>Supplier billing terms; quoted estimate, subject to issue-status and contract confirmation</x:v>
      </x:c>
    </x:row>
    <x:row r="15" ht="42" customHeight="1">
      <x:c r="A15" s="100" t="str">
        <x:v>First payment / setup month</x:v>
      </x:c>
      <x:c r="B15" s="181" t="n">
        <x:v>1</x:v>
      </x:c>
      <x:c r="C15" s="94"/>
      <x:c r="D15" s="94"/>
      <x:c r="E15" s="96" t="str">
        <x:v>Integer model month 1–12; must be at or before second payment</x:v>
      </x:c>
      <x:c r="F15" s="184" t="str">
        <x:v>Quote | Kickoff payment</x:v>
      </x:c>
      <x:c r="G15" s="187" t="str">
        <x:v>Model month 1 aligned to planned start</x:v>
      </x:c>
    </x:row>
    <x:row r="16" ht="42" customHeight="1">
      <x:c r="A16" s="64" t="str">
        <x:v>Second payment / training month</x:v>
      </x:c>
      <x:c r="B16" s="181" t="n">
        <x:v>2</x:v>
      </x:c>
      <x:c r="C16" s="70"/>
      <x:c r="D16" s="70"/>
      <x:c r="E16" s="72" t="str">
        <x:v>Integer model month 1–12; milestone acceptance month</x:v>
      </x:c>
      <x:c r="F16" s="184" t="str">
        <x:v>Quote | Six-week delivery; milestone date unstated</x:v>
      </x:c>
      <x:c r="G16" s="187" t="str">
        <x:v>Month 2 assumed; confirm schedule</x:v>
      </x:c>
    </x:row>
    <x:row r="17" ht="42" customHeight="1">
      <x:c r="A17" s="100" t="str">
        <x:v>Other one-time cash cost</x:v>
      </x:c>
      <x:c r="B17" s="235" t="n">
        <x:v>0</x:v>
      </x:c>
      <x:c r="C17" s="94"/>
      <x:c r="D17" s="94"/>
      <x:c r="E17" s="96" t="str">
        <x:v>USD; incremental cash only</x:v>
      </x:c>
      <x:c r="F17" s="184" t="str">
        <x:v>Assumption | None separately evidenced</x:v>
      </x:c>
      <x:c r="G17" s="187" t="str">
        <x:v>Zero pending evidence; staff time separate</x:v>
      </x:c>
    </x:row>
    <x:row r="18" ht="42" customHeight="1">
      <x:c r="A18" s="64" t="str">
        <x:v>Internal setup hours</x:v>
      </x:c>
      <x:c r="B18" s="181" t="n">
        <x:v>96</x:v>
      </x:c>
      <x:c r="C18" s="70"/>
      <x:c r="D18" s="70"/>
      <x:c r="E18" s="72" t="str">
        <x:v>Hours; capacity consumed in first payment month</x:v>
      </x:c>
      <x:c r="F18" s="184" t="str">
        <x:v>Opportunity Brief §6 | Setup and configuration</x:v>
      </x:c>
      <x:c r="G18" s="187" t="str">
        <x:v>Customer-confirmed capacity estimate</x:v>
      </x:c>
    </x:row>
    <x:row r="19" ht="42" customHeight="1">
      <x:c r="A19" s="100" t="str">
        <x:v>Internal training hours</x:v>
      </x:c>
      <x:c r="B19" s="181" t="n">
        <x:v>180</x:v>
      </x:c>
      <x:c r="C19" s="94"/>
      <x:c r="D19" s="94"/>
      <x:c r="E19" s="96" t="str">
        <x:v>Hours; capacity consumed in second payment month</x:v>
      </x:c>
      <x:c r="F19" s="184" t="str">
        <x:v>Opportunity Brief §6 | 60 users × 3 hours</x:v>
      </x:c>
      <x:c r="G19" s="187" t="str">
        <x:v>Customer-confirmed capacity estimate</x:v>
      </x:c>
    </x:row>
    <x:row r="20" ht="42" customHeight="1">
      <x:c r="A20" s="64" t="str">
        <x:v>Loaded internal hourly cost</x:v>
      </x:c>
      <x:c r="B20" s="236" t="n">
        <x:v>85</x:v>
      </x:c>
      <x:c r="C20" s="70"/>
      <x:c r="D20" s="70"/>
      <x:c r="E20" s="72" t="str">
        <x:v>USD/hour; capacity allocation only</x:v>
      </x:c>
      <x:c r="F20" s="184" t="str">
        <x:v>Opportunity Brief §6 | Finance-confirmed</x:v>
      </x:c>
      <x:c r="G20" s="187" t="str">
        <x:v>Allocation basis only; not cash saving</x:v>
      </x:c>
    </x:row>
    <x:row r="21" ht="36" customHeight="1">
      <x:c r="A21" s="100" t="str">
        <x:v>Administration hours / month</x:v>
      </x:c>
      <x:c r="B21" s="181" t="n">
        <x:v>8</x:v>
      </x:c>
      <x:c r="C21" s="181" t="n">
        <x:v>8</x:v>
      </x:c>
      <x:c r="D21" s="181" t="n">
        <x:v>8</x:v>
      </x:c>
      <x:c r="E21" s="96" t="str">
        <x:v>Hours / month; economic cost only</x:v>
      </x:c>
      <x:c r="F21" s="184" t="str">
        <x:v>Opportunity Brief §6 | Monthly effort</x:v>
      </x:c>
      <x:c r="G21" s="187" t="str">
        <x:v>Customer-confirmed capacity estimate</x:v>
      </x:c>
    </x:row>
    <x:row r="22" ht="42" customHeight="1">
      <x:c r="A22" s="64" t="str">
        <x:v>Annual discount rate</x:v>
      </x:c>
      <x:c r="B22" s="209" t="n">
        <x:v>0.1</x:v>
      </x:c>
      <x:c r="C22" s="70"/>
      <x:c r="D22" s="70"/>
      <x:c r="E22" s="72" t="str">
        <x:v>Annual effective discount rate</x:v>
      </x:c>
      <x:c r="F22" s="184" t="str">
        <x:v>Assumption | No customer rate provided</x:v>
      </x:c>
      <x:c r="G22" s="187" t="str">
        <x:v>10% sensitivity input; not customer-specified</x:v>
      </x:c>
    </x:row>
    <x:row r="23" ht="42" customHeight="1">
      <x:c r="A23" s="100" t="str">
        <x:v>Year 2 / Year 3 benefit ramp</x:v>
      </x:c>
      <x:c r="B23" s="96" t="n">
        <x:v>1</x:v>
      </x:c>
      <x:c r="C23" s="209" t="n">
        <x:v>1</x:v>
      </x:c>
      <x:c r="D23" s="209" t="n">
        <x:v>1</x:v>
      </x:c>
      <x:c r="E23" s="96" t="str">
        <x:v>0–100% relative to steady-state adoption; Year 1 uses monthly rows below</x:v>
      </x:c>
      <x:c r="F23" s="184" t="str">
        <x:v>Opportunity Brief §6 | Planning horizon</x:v>
      </x:c>
      <x:c r="G23" s="187" t="str">
        <x:v>100% assumption; validate in pilot</x:v>
      </x:c>
    </x:row>
    <x:row r="24" ht="42" customHeight="1">
      <x:c r="A24" s="64" t="str">
        <x:v>Active case</x:v>
      </x:c>
      <x:c r="B24" s="184" t="n">
        <x:v>1</x:v>
      </x:c>
      <x:c r="C24" s="72"/>
      <x:c r="D24" s="72"/>
      <x:c r="E24" s="72" t="str">
        <x:v>1 = Planning; 2 = Conservative. Change this one selector for sensitivity</x:v>
      </x:c>
      <x:c r="F24" s="184" t="str">
        <x:v>Model control | 1 = Planning; 2 = Conservative</x:v>
      </x:c>
      <x:c r="G24" s="187" t="str">
        <x:v>Planning selected; switch to 2 for sensitivity</x:v>
      </x:c>
    </x:row>
    <x:row r="25" ht="90" customHeight="1">
      <x:c r="A25" s="100" t="str">
        <x:v>Review / conclusion</x:v>
      </x:c>
      <x:c r="B25" s="232" t="str">
        <x:v>Planning estimate: validate task quality, adoption and productive use in the 12-user pilot; refresh the economic case before rollout.</x:v>
      </x:c>
      <x:c r="C25" s="96"/>
      <x:c r="D25" s="96"/>
      <x:c r="E25" s="96" t="str">
        <x:v>Rollout requires accepted quality, positive refreshed economic value and recorded security, contract and budget approvals.</x:v>
      </x:c>
      <x:c r="F25" s="184" t="str">
        <x:v>Opportunity Brief v1.1, sections 4–6; proposed rollout decision rule</x:v>
      </x:c>
      <x:c r="G25" s="187" t="str">
        <x:v>Recommendation; no purchase approval recorded</x:v>
      </x:c>
    </x:row>
    <x:row r="26" ht="54" customHeight="1">
      <x:c r="A26" s="64" t="str">
        <x:v>Productive-use sensitivity test</x:v>
      </x:c>
      <x:c r="B26" s="332" t="n">
        <x:v>0.75</x:v>
      </x:c>
      <x:c r="C26" s="72"/>
      <x:c r="D26" s="72"/>
      <x:c r="E26" s="72" t="str">
        <x:v>0–100%; isolated test; does not change the active case</x:v>
      </x:c>
      <x:c r="F26" s="72" t="str">
        <x:v>HTML investment condition; 75% productive-use test</x:v>
      </x:c>
      <x:c r="G26" s="69" t="str">
        <x:v>Assumption; reduction, adoption, ramp and costs held fixed</x:v>
      </x:c>
    </x:row>
    <x:row r="27" ht="54" customHeight="1">
      <x:c r="A27" s="64" t="str">
        <x:v>Year 1 evaluation ceiling</x:v>
      </x:c>
      <x:c r="B27" s="333" t="n">
        <x:v>125000</x:v>
      </x:c>
      <x:c r="C27" s="72"/>
      <x:c r="D27" s="72"/>
      <x:c r="E27" s="72" t="str">
        <x:v>USD before tax; vendor fees plus internal effort</x:v>
      </x:c>
      <x:c r="F27" s="72" t="str">
        <x:v>Opportunity Brief v1.1, section 6; Finance, 30 Sep 2026</x:v>
      </x:c>
      <x:c r="G27" s="69" t="str">
        <x:v>Evaluation ceiling; not purchasing authority</x:v>
      </x:c>
    </x:row>
    <x:row r="28" ht="44" customHeight="1">
      <x:c r="A28" s="87" t="str">
        <x:v>Case assumption</x:v>
      </x:c>
      <x:c r="B28" s="88" t="str">
        <x:v>Planning</x:v>
      </x:c>
      <x:c r="C28" s="88" t="str">
        <x:v>Conservative</x:v>
      </x:c>
      <x:c r="D28" s="88" t="str">
        <x:v>Active value</x:v>
      </x:c>
      <x:c r="E28" s="88" t="str">
        <x:v>Unit / interpretation</x:v>
      </x:c>
      <x:c r="F28" s="88" t="str">
        <x:v>Source / validation action / owner</x:v>
      </x:c>
      <x:c r="G28" s="89" t="str">
        <x:v>Evidence status</x:v>
      </x:c>
    </x:row>
    <x:row r="29" ht="96" customHeight="1">
      <x:c r="A29" s="100" t="str">
        <x:v>Eligible time reduction</x:v>
      </x:c>
      <x:c r="B29" s="209" t="n">
        <x:v>0.35</x:v>
      </x:c>
      <x:c r="C29" s="209" t="n">
        <x:v>0.2</x:v>
      </x:c>
      <x:c r="D29" s="148" t="n">
        <x:f>IF(B24=1,IF(ISNUMBER(B29),B29,"Missing input"),IF(B24=2,IF(ISNUMBER(C29),C29,"Missing input"),"Select case"))</x:f>
        <x:v>0.35</x:v>
      </x:c>
      <x:c r="E29" s="96" t="str">
        <x:v>0–100%; an assumption until measured</x:v>
      </x:c>
      <x:c r="F29" s="184" t="str">
        <x:v>04 Customer_Projects/AsterVale/01_Procurement/Opportunity Brief §6 | §6, 35% initial planning assumption</x:v>
      </x:c>
      <x:c r="G29" s="187" t="str">
        <x:v>Model assumption for sensitivity; unmeasured and not a supplier guarantee. Conservative 20% downside selected for sensitivity.</x:v>
      </x:c>
    </x:row>
    <x:row r="30" ht="96" customHeight="1">
      <x:c r="A30" s="64" t="str">
        <x:v>Effective steady-state adoption</x:v>
      </x:c>
      <x:c r="B30" s="209" t="n">
        <x:v>0.7</x:v>
      </x:c>
      <x:c r="C30" s="209" t="n">
        <x:v>0.5</x:v>
      </x:c>
      <x:c r="D30" s="71" t="n">
        <x:f>IF(B24=1,IF(ISNUMBER(B30),B30,"Missing input"),IF(B24=2,IF(ISNUMBER(C30),C30,"Missing input"),"Select case"))</x:f>
        <x:v>0.7</x:v>
      </x:c>
      <x:c r="E30" s="72" t="str">
        <x:v>0–100%; apply once, then use monthly ramp relative to this level</x:v>
      </x:c>
      <x:c r="F30" s="184" t="str">
        <x:v>04 Customer_Projects/AsterVale/01_Procurement/Opportunity Brief §6 | §6, 70% effective-adoption planning assumption</x:v>
      </x:c>
      <x:c r="G30" s="187" t="str">
        <x:v>Model assumption for sensitivity; unmeasured and not a supplier guarantee. Conservative 50% downside selected for sensitivity.</x:v>
      </x:c>
    </x:row>
    <x:row r="31" ht="96" customHeight="1">
      <x:c r="A31" s="100" t="str">
        <x:v>Capacity value realization</x:v>
      </x:c>
      <x:c r="B31" s="209" t="n">
        <x:v>1</x:v>
      </x:c>
      <x:c r="C31" s="209" t="n">
        <x:v>0.75</x:v>
      </x:c>
      <x:c r="D31" s="148" t="n">
        <x:f>IF(B24=1,IF(ISNUMBER(B31),B31,"Missing input"),IF(B24=2,IF(ISNUMBER(C31),C31,"Missing input"),"Select case"))</x:f>
        <x:v>1</x:v>
      </x:c>
      <x:c r="E31" s="96" t="str">
        <x:v>0–100%; how much released time has valued alternative use</x:v>
      </x:c>
      <x:c r="F31" s="184" t="str">
        <x:v>Assumption | Share of released time assigned productive alternative work</x:v>
      </x:c>
      <x:c r="G31" s="187" t="str">
        <x:v>Model assumption for sensitivity; unmeasured and not a supplier guarantee. 75% productive realization in the conservative case; neither case treats capacity as cash.</x:v>
      </x:c>
    </x:row>
    <x:row r="32" ht="96" customHeight="1">
      <x:c r="A32" s="64" t="str">
        <x:v>Annual realized cash savings</x:v>
      </x:c>
      <x:c r="B32" s="235" t="n">
        <x:v>0</x:v>
      </x:c>
      <x:c r="C32" s="235" t="n">
        <x:v>0</x:v>
      </x:c>
      <x:c r="D32" s="70" t="n">
        <x:f>IF(B24=1,IF(ISNUMBER(B32),B32,"Missing input"),IF(B24=2,IF(ISNUMBER(C32),C32,"Missing input"),"Select case"))</x:f>
        <x:v>0</x:v>
      </x:c>
      <x:c r="E32" s="72" t="str">
        <x:v>USD/year; cash savings</x:v>
      </x:c>
      <x:c r="F32" s="184" t="str">
        <x:v>Assumption | No evidenced reduction in paid spend; no headcount reduction authorized per §6</x:v>
      </x:c>
      <x:c r="G32" s="187" t="str">
        <x:v>Assumption | No evidenced reduction in paid spend; no headcount reduction authorized per §6</x:v>
      </x:c>
    </x:row>
    <x:row r="33" ht="96" customHeight="1">
      <x:c r="A33" s="100" t="str">
        <x:v>Annual economic overlap</x:v>
      </x:c>
      <x:c r="B33" s="235" t="n">
        <x:v>0</x:v>
      </x:c>
      <x:c r="C33" s="235" t="n">
        <x:v>0</x:v>
      </x:c>
      <x:c r="D33" s="94" t="n">
        <x:f>IF(B24=1,IF(ISNUMBER(B33),B33,"Missing input"),IF(B24=2,IF(ISNUMBER(C33),C33,"Missing input"),"Select case"))</x:f>
        <x:v>0</x:v>
      </x:c>
      <x:c r="E33" s="96" t="str">
        <x:v>USD/year; overlap</x:v>
      </x:c>
      <x:c r="F33" s="184" t="str">
        <x:v>Assumption | No cash savings overlap exists while modeled cash savings are zero</x:v>
      </x:c>
      <x:c r="G33" s="187" t="str">
        <x:v>Assumption | No cash savings overlap exists while modeled cash savings are zero</x:v>
      </x:c>
    </x:row>
    <x:row r="34" ht="10" customHeight="1">
      <x:c r="A34" s="64"/>
      <x:c r="B34" s="72"/>
      <x:c r="C34" s="72"/>
      <x:c r="D34" s="72"/>
      <x:c r="E34" s="72"/>
      <x:c r="F34" s="72"/>
      <x:c r="G34" s="69"/>
    </x:row>
    <x:row r="35" ht="10" customHeight="1">
      <x:c r="A35" s="64"/>
      <x:c r="B35" s="72"/>
      <x:c r="C35" s="72"/>
      <x:c r="D35" s="72"/>
      <x:c r="E35" s="72"/>
      <x:c r="F35" s="72"/>
      <x:c r="G35" s="69"/>
    </x:row>
    <x:row r="36" ht="44" customHeight="1">
      <x:c r="A36" s="87" t="str">
        <x:v>Year 1 model month</x:v>
      </x:c>
      <x:c r="B36" s="88" t="str">
        <x:v>Ramp relative to steady state</x:v>
      </x:c>
      <x:c r="C36" s="88"/>
      <x:c r="D36" s="88"/>
      <x:c r="E36" s="88" t="str">
        <x:v>Rule</x:v>
      </x:c>
      <x:c r="F36" s="88" t="str">
        <x:v>Source / effective date / owner</x:v>
      </x:c>
      <x:c r="G36" s="89" t="str">
        <x:v>Evidence status</x:v>
      </x:c>
    </x:row>
    <x:row r="37" ht="42" customHeight="1">
      <x:c r="A37" s="100" t="n">
        <x:v>1</x:v>
      </x:c>
      <x:c r="B37" s="209" t="n">
        <x:v>0</x:v>
      </x:c>
      <x:c r="C37" s="96"/>
      <x:c r="D37" s="96"/>
      <x:c r="E37" s="96" t="str">
        <x:v>Enter 0 before benefit begins; 1 means steady-state adoption</x:v>
      </x:c>
      <x:c r="F37" s="184" t="str">
        <x:v>Assumption | No benefits during six-week implementation</x:v>
      </x:c>
      <x:c r="G37" s="187" t="str">
        <x:v>Planning assumption; validate in pilot</x:v>
      </x:c>
    </x:row>
    <x:row r="38" ht="42" customHeight="1">
      <x:c r="A38" s="64" t="n">
        <x:v>2</x:v>
      </x:c>
      <x:c r="B38" s="209" t="n">
        <x:v>0</x:v>
      </x:c>
      <x:c r="C38" s="72"/>
      <x:c r="D38" s="72"/>
      <x:c r="E38" s="72" t="str">
        <x:v>Enter 0 before benefit begins; 1 means steady-state adoption</x:v>
      </x:c>
      <x:c r="F38" s="184" t="str">
        <x:v>Assumption | No benefits during six-week implementation</x:v>
      </x:c>
      <x:c r="G38" s="187" t="str">
        <x:v>Planning assumption; validate in pilot</x:v>
      </x:c>
    </x:row>
    <x:row r="39" ht="42" customHeight="1">
      <x:c r="A39" s="100" t="n">
        <x:v>3</x:v>
      </x:c>
      <x:c r="B39" s="209" t="n">
        <x:v>0.25</x:v>
      </x:c>
      <x:c r="C39" s="96"/>
      <x:c r="D39" s="96"/>
      <x:c r="E39" s="96" t="str">
        <x:v>Enter 0 before benefit begins; 1 means steady-state adoption</x:v>
      </x:c>
      <x:c r="F39" s="184" t="str">
        <x:v>Assumption | 25% of steady-state ramp</x:v>
      </x:c>
      <x:c r="G39" s="187" t="str">
        <x:v>Planning assumption; validate in pilot</x:v>
      </x:c>
    </x:row>
    <x:row r="40" ht="42" customHeight="1">
      <x:c r="A40" s="64" t="n">
        <x:v>4</x:v>
      </x:c>
      <x:c r="B40" s="209" t="n">
        <x:v>0.5</x:v>
      </x:c>
      <x:c r="C40" s="72"/>
      <x:c r="D40" s="72"/>
      <x:c r="E40" s="72" t="str">
        <x:v>Enter 0 before benefit begins; 1 means steady-state adoption</x:v>
      </x:c>
      <x:c r="F40" s="184" t="str">
        <x:v>Assumption | 50% of steady-state ramp</x:v>
      </x:c>
      <x:c r="G40" s="187" t="str">
        <x:v>Planning assumption; validate in pilot</x:v>
      </x:c>
    </x:row>
    <x:row r="41" ht="42" customHeight="1">
      <x:c r="A41" s="100" t="n">
        <x:v>5</x:v>
      </x:c>
      <x:c r="B41" s="209" t="n">
        <x:v>0.75</x:v>
      </x:c>
      <x:c r="C41" s="96"/>
      <x:c r="D41" s="96"/>
      <x:c r="E41" s="96" t="str">
        <x:v>Enter 0 before benefit begins; 1 means steady-state adoption</x:v>
      </x:c>
      <x:c r="F41" s="184" t="str">
        <x:v>Assumption | 75% of steady-state ramp</x:v>
      </x:c>
      <x:c r="G41" s="187" t="str">
        <x:v>Planning assumption; validate in pilot</x:v>
      </x:c>
    </x:row>
    <x:row r="42" ht="42" customHeight="1">
      <x:c r="A42" s="64" t="n">
        <x:v>6</x:v>
      </x:c>
      <x:c r="B42" s="209" t="n">
        <x:v>1</x:v>
      </x:c>
      <x:c r="C42" s="72"/>
      <x:c r="D42" s="72"/>
      <x:c r="E42" s="72" t="str">
        <x:v>Enter 0 before benefit begins; 1 means steady-state adoption</x:v>
      </x:c>
      <x:c r="F42" s="184" t="str">
        <x:v>Assumption | 100% of steady-state ramp</x:v>
      </x:c>
      <x:c r="G42" s="187" t="str">
        <x:v>Planning assumption; validate in pilot</x:v>
      </x:c>
    </x:row>
    <x:row r="43" ht="42" customHeight="1">
      <x:c r="A43" s="100" t="n">
        <x:v>7</x:v>
      </x:c>
      <x:c r="B43" s="209" t="n">
        <x:v>1</x:v>
      </x:c>
      <x:c r="C43" s="96"/>
      <x:c r="D43" s="96"/>
      <x:c r="E43" s="96" t="str">
        <x:v>Enter 0 before benefit begins; 1 means steady-state adoption</x:v>
      </x:c>
      <x:c r="F43" s="184" t="str">
        <x:v>Assumption | 100% of steady-state ramp</x:v>
      </x:c>
      <x:c r="G43" s="187" t="str">
        <x:v>Planning assumption; validate in pilot</x:v>
      </x:c>
    </x:row>
    <x:row r="44" ht="42" customHeight="1">
      <x:c r="A44" s="64" t="n">
        <x:v>8</x:v>
      </x:c>
      <x:c r="B44" s="209" t="n">
        <x:v>1</x:v>
      </x:c>
      <x:c r="C44" s="72"/>
      <x:c r="D44" s="72"/>
      <x:c r="E44" s="72" t="str">
        <x:v>Enter 0 before benefit begins; 1 means steady-state adoption</x:v>
      </x:c>
      <x:c r="F44" s="184" t="str">
        <x:v>Assumption | 100% of steady-state ramp</x:v>
      </x:c>
      <x:c r="G44" s="187" t="str">
        <x:v>Planning assumption; validate in pilot</x:v>
      </x:c>
    </x:row>
    <x:row r="45" ht="42" customHeight="1">
      <x:c r="A45" s="100" t="n">
        <x:v>9</x:v>
      </x:c>
      <x:c r="B45" s="209" t="n">
        <x:v>1</x:v>
      </x:c>
      <x:c r="C45" s="96"/>
      <x:c r="D45" s="96"/>
      <x:c r="E45" s="96" t="str">
        <x:v>Enter 0 before benefit begins; 1 means steady-state adoption</x:v>
      </x:c>
      <x:c r="F45" s="184" t="str">
        <x:v>Assumption | 100% of steady-state ramp</x:v>
      </x:c>
      <x:c r="G45" s="187" t="str">
        <x:v>Planning assumption; validate in pilot</x:v>
      </x:c>
    </x:row>
    <x:row r="46" ht="42" customHeight="1">
      <x:c r="A46" s="64" t="n">
        <x:v>10</x:v>
      </x:c>
      <x:c r="B46" s="209" t="n">
        <x:v>1</x:v>
      </x:c>
      <x:c r="C46" s="72"/>
      <x:c r="D46" s="72"/>
      <x:c r="E46" s="72" t="str">
        <x:v>Enter 0 before benefit begins; 1 means steady-state adoption</x:v>
      </x:c>
      <x:c r="F46" s="184" t="str">
        <x:v>Assumption | 100% of steady-state ramp</x:v>
      </x:c>
      <x:c r="G46" s="187" t="str">
        <x:v>Planning assumption; validate in pilot</x:v>
      </x:c>
    </x:row>
    <x:row r="47" ht="42" customHeight="1">
      <x:c r="A47" s="100" t="n">
        <x:v>11</x:v>
      </x:c>
      <x:c r="B47" s="209" t="n">
        <x:v>1</x:v>
      </x:c>
      <x:c r="C47" s="96"/>
      <x:c r="D47" s="96"/>
      <x:c r="E47" s="96" t="str">
        <x:v>Enter 0 before benefit begins; 1 means steady-state adoption</x:v>
      </x:c>
      <x:c r="F47" s="184" t="str">
        <x:v>Assumption | 100% of steady-state ramp</x:v>
      </x:c>
      <x:c r="G47" s="187" t="str">
        <x:v>Planning assumption; validate in pilot</x:v>
      </x:c>
    </x:row>
    <x:row r="48" ht="42" customHeight="1">
      <x:c r="A48" s="64" t="n">
        <x:v>12</x:v>
      </x:c>
      <x:c r="B48" s="209" t="n">
        <x:v>1</x:v>
      </x:c>
      <x:c r="C48" s="72"/>
      <x:c r="D48" s="72"/>
      <x:c r="E48" s="72" t="str">
        <x:v>Enter 0 before benefit begins; 1 means steady-state adoption</x:v>
      </x:c>
      <x:c r="F48" s="184" t="str">
        <x:v>Assumption | 100% of steady-state ramp</x:v>
      </x:c>
      <x:c r="G48" s="187" t="str">
        <x:v>Planning assumption; validate in pilot</x:v>
      </x:c>
    </x:row>
    <x:row r="49" ht="10" customHeight="1">
      <x:c r="A49" s="64"/>
      <x:c r="B49" s="72"/>
      <x:c r="C49" s="72"/>
      <x:c r="D49" s="72"/>
      <x:c r="E49" s="72"/>
      <x:c r="F49" s="72"/>
      <x:c r="G49" s="69"/>
    </x:row>
    <x:row r="50" ht="10" customHeight="1">
      <x:c r="A50" s="64"/>
      <x:c r="B50" s="72"/>
      <x:c r="C50" s="72"/>
      <x:c r="D50" s="72"/>
      <x:c r="E50" s="72"/>
      <x:c r="F50" s="72"/>
      <x:c r="G50" s="69"/>
    </x:row>
    <x:row r="51" ht="30" customHeight="1">
      <x:c r="A51" s="87" t="str">
        <x:v>Model conventions</x:v>
      </x:c>
      <x:c r="B51" s="88"/>
      <x:c r="C51" s="88"/>
      <x:c r="D51" s="88"/>
      <x:c r="E51" s="88"/>
      <x:c r="F51" s="88"/>
      <x:c r="G51" s="89"/>
    </x:row>
    <x:row r="52" ht="68" customHeight="1">
      <x:c r="A52" s="64" t="str">
        <x:v>Cash and economic cost</x:v>
      </x:c>
      <x:c r="B52" s="72"/>
      <x:c r="C52" s="72"/>
      <x:c r="D52" s="72"/>
      <x:c r="E52" s="72" t="str">
        <x:v>Allocated setup, training and administration time belongs only to economic cost. Incremental overtime or contractor payments belong in cash costs; exclude the same hours from allocation to avoid duplication.</x:v>
      </x:c>
      <x:c r="F52" s="72"/>
      <x:c r="G52" s="69"/>
    </x:row>
    <x:row r="53" ht="68" customHeight="1">
      <x:c r="A53" s="100" t="str">
        <x:v>Cash savings</x:v>
      </x:c>
      <x:c r="B53" s="96"/>
      <x:c r="C53" s="96"/>
      <x:c r="D53" s="96"/>
      <x:c r="E53" s="96" t="str">
        <x:v>Only documented spending reductions are cash benefits. Cash savings remain intact when also included in capacity value. Enter the duplicated part as Annual economic overlap; it reduces economic benefit only and cannot exceed either gross benefit.</x:v>
      </x:c>
      <x:c r="F53" s="96"/>
      <x:c r="G53" s="95"/>
    </x:row>
    <x:row r="54" ht="68" customHeight="1">
      <x:c r="A54" s="64" t="str">
        <x:v>Timing and horizon</x:v>
      </x:c>
      <x:c r="B54" s="72"/>
      <x:c r="C54" s="72"/>
      <x:c r="D54" s="72"/>
      <x:c r="E54" s="72" t="str">
        <x:v>36 model months. Annual fees paid in advance; other annual cash costs spread evenly. Two implementation milestones are within Year 1. Month-end timing; adapt the schedule for materially different payment terms.</x:v>
      </x:c>
      <x:c r="F54" s="72"/>
      <x:c r="G54" s="69"/>
    </x:row>
    <x:row r="55" ht="68" customHeight="1">
      <x:c r="A55" s="100" t="str">
        <x:v>Payback meaning</x:v>
      </x:c>
      <x:c r="B55" s="96"/>
      <x:c r="C55" s="96"/>
      <x:c r="D55" s="96"/>
      <x:c r="E55" s="96" t="str">
        <x:v>First month with a nonnegative cumulative balance that stays nonnegative through month 36. Cash payback excludes capacity value; economic recovery includes it. Later renewals may reverse an early recovery.</x:v>
      </x:c>
      <x:c r="F55" s="96"/>
      <x:c r="G55" s="95"/>
    </x:row>
    <x:row r="56" ht="68" customHeight="1">
      <x:c r="A56" s="125" t="str">
        <x:v>Evidence and sensitivity</x:v>
      </x:c>
      <x:c r="B56" s="80"/>
      <x:c r="C56" s="80"/>
      <x:c r="D56" s="80"/>
      <x:c r="E56" s="80" t="str">
        <x:v>Complete source and status for every used input. Record separate bases for Planning and Conservative in the same source cell. Compare cases by switching the selector in this one calculation model; do not present assumed savings as achieved.</x:v>
      </x:c>
      <x:c r="F56" s="80"/>
      <x:c r="G56" s="81"/>
    </x:row>
    <x:row r="57">
      <x:c r="A57" s="1"/>
      <x:c r="B57" s="1"/>
      <x:c r="C57" s="1"/>
      <x:c r="D57" s="1"/>
      <x:c r="E57" s="1"/>
      <x:c r="F57" s="1"/>
      <x:c r="G57" s="1"/>
    </x:row>
    <x:row r="58" ht="54" customHeight="1">
      <x:c r="A58" s="1" t="str">
        <x:v>Business-case review date</x:v>
      </x:c>
      <x:c r="B58" s="260" t="n">
        <x:v>46303</x:v>
      </x:c>
      <x:c r="C58" s="1"/>
      <x:c r="D58" s="1"/>
      <x:c r="E58" s="1" t="str">
        <x:v>Fixed date for the paired HTML brief</x:v>
      </x:c>
      <x:c r="F58" s="1" t="str">
        <x:v>AsterVale ROI One Pager</x:v>
      </x:c>
      <x:c r="G58" s="1" t="str">
        <x:v>Planning assessment as of 08 Oct 2026</x:v>
      </x:c>
    </x:row>
    <x:row r="59" ht="54" customHeight="1">
      <x:c r="A59" s="1" t="str">
        <x:v>Supplied quote issue date</x:v>
      </x:c>
      <x:c r="B59" s="260" t="n">
        <x:v>46309</x:v>
      </x:c>
      <x:c r="C59" s="1"/>
      <x:c r="D59" s="1"/>
      <x:c r="E59" s="1" t="str">
        <x:v>Later than review date; confirm issue status before purchase commitment</x:v>
      </x:c>
      <x:c r="F59" s="1" t="str">
        <x:v>AV-Q-2026-041 v1.0</x:v>
      </x:c>
      <x:c r="G59" s="1" t="str">
        <x:v>Issue status and applicable terms require Procurement confirmation</x:v>
      </x:c>
    </x:row>
    <x:row r="60">
      <x:c r="A60" s="1"/>
      <x:c r="B60" s="1"/>
      <x:c r="C60" s="1"/>
      <x:c r="D60" s="1"/>
      <x:c r="E60" s="1"/>
      <x:c r="F60" s="1"/>
      <x:c r="G60" s="1"/>
    </x:row>
    <x:row r="61">
      <x:c r="A61" s="1"/>
      <x:c r="B61" s="1"/>
      <x:c r="C61" s="1"/>
      <x:c r="D61" s="1"/>
      <x:c r="E61" s="1"/>
      <x:c r="F61" s="1"/>
      <x:c r="G61" s="1"/>
    </x:row>
    <x:row r="62">
      <x:c r="A62" s="1"/>
      <x:c r="B62" s="1"/>
      <x:c r="C62" s="1"/>
      <x:c r="D62" s="1"/>
      <x:c r="E62" s="1"/>
      <x:c r="F62" s="1"/>
      <x:c r="G62" s="1"/>
    </x:row>
    <x:row r="63">
      <x:c r="A63" s="1"/>
      <x:c r="B63" s="1"/>
      <x:c r="C63" s="1"/>
      <x:c r="D63" s="1"/>
      <x:c r="E63" s="1"/>
      <x:c r="F63" s="1"/>
      <x:c r="G63" s="1"/>
    </x:row>
    <x:row r="64">
      <x:c r="A64" s="1"/>
      <x:c r="B64" s="1"/>
      <x:c r="C64" s="1"/>
      <x:c r="D64" s="1"/>
      <x:c r="E64" s="1"/>
      <x:c r="F64" s="1"/>
      <x:c r="G64" s="1"/>
    </x:row>
    <x:row r="65">
      <x:c r="A65" s="1"/>
      <x:c r="B65" s="1"/>
      <x:c r="C65" s="1"/>
      <x:c r="D65" s="1"/>
      <x:c r="E65" s="1"/>
      <x:c r="F65" s="1"/>
      <x:c r="G65" s="1"/>
    </x:row>
    <x:row r="66">
      <x:c r="A66" s="1"/>
      <x:c r="B66" s="1"/>
      <x:c r="C66" s="1"/>
      <x:c r="D66" s="1"/>
      <x:c r="E66" s="1"/>
      <x:c r="F66" s="1"/>
      <x:c r="G66" s="1"/>
    </x:row>
    <x:row r="67">
      <x:c r="A67" s="1"/>
      <x:c r="B67" s="1"/>
      <x:c r="C67" s="1"/>
      <x:c r="D67" s="1"/>
      <x:c r="E67" s="1"/>
      <x:c r="F67" s="1"/>
      <x:c r="G67" s="1"/>
    </x:row>
    <x:row r="68">
      <x:c r="A68" s="1"/>
      <x:c r="B68" s="1"/>
      <x:c r="C68" s="1"/>
      <x:c r="D68" s="1"/>
      <x:c r="E68" s="1"/>
      <x:c r="F68" s="1"/>
      <x:c r="G68" s="1"/>
    </x:row>
    <x:row r="69">
      <x:c r="A69" s="1"/>
      <x:c r="B69" s="1"/>
      <x:c r="C69" s="1"/>
      <x:c r="D69" s="1"/>
      <x:c r="E69" s="1"/>
      <x:c r="F69" s="1"/>
      <x:c r="G69" s="1"/>
    </x:row>
    <x:row r="70">
      <x:c r="A70" s="1"/>
      <x:c r="B70" s="1"/>
      <x:c r="C70" s="1"/>
      <x:c r="D70" s="1"/>
      <x:c r="E70" s="1"/>
      <x:c r="F70" s="1"/>
      <x:c r="G70" s="1"/>
    </x:row>
    <x:row r="71">
      <x:c r="A71" s="1"/>
      <x:c r="B71" s="1"/>
      <x:c r="C71" s="1"/>
      <x:c r="D71" s="1"/>
      <x:c r="E71" s="1"/>
      <x:c r="F71" s="1"/>
      <x:c r="G71" s="1"/>
    </x:row>
    <x:row r="72">
      <x:c r="A72" s="1"/>
      <x:c r="B72" s="1"/>
      <x:c r="C72" s="1"/>
      <x:c r="D72" s="1"/>
      <x:c r="E72" s="1"/>
      <x:c r="F72" s="1"/>
      <x:c r="G72" s="1"/>
    </x:row>
    <x:row r="73">
      <x:c r="A73" s="1"/>
      <x:c r="B73" s="1"/>
      <x:c r="C73" s="1"/>
      <x:c r="D73" s="1"/>
      <x:c r="E73" s="1"/>
      <x:c r="F73" s="1"/>
      <x:c r="G73" s="1"/>
    </x:row>
    <x:row r="74">
      <x:c r="A74" s="1"/>
      <x:c r="B74" s="1"/>
      <x:c r="C74" s="1"/>
      <x:c r="D74" s="1"/>
      <x:c r="E74" s="1"/>
      <x:c r="F74" s="1"/>
      <x:c r="G74" s="1"/>
    </x:row>
    <x:row r="75">
      <x:c r="A75" s="1"/>
      <x:c r="B75" s="1"/>
      <x:c r="C75" s="1"/>
      <x:c r="D75" s="1"/>
      <x:c r="E75" s="1"/>
      <x:c r="F75" s="1"/>
      <x:c r="G75" s="1"/>
    </x:row>
    <x:row r="76">
      <x:c r="A76" s="1"/>
      <x:c r="B76" s="1"/>
      <x:c r="C76" s="1"/>
      <x:c r="D76" s="1"/>
      <x:c r="E76" s="1"/>
      <x:c r="F76" s="1"/>
      <x:c r="G76" s="1"/>
    </x:row>
    <x:row r="77">
      <x:c r="A77" s="1"/>
      <x:c r="B77" s="1"/>
      <x:c r="C77" s="1"/>
      <x:c r="D77" s="1"/>
      <x:c r="E77" s="1"/>
      <x:c r="F77" s="1"/>
      <x:c r="G77" s="1"/>
    </x:row>
    <x:row r="78">
      <x:c r="A78" s="1"/>
      <x:c r="B78" s="1"/>
      <x:c r="C78" s="1"/>
      <x:c r="D78" s="1"/>
      <x:c r="E78" s="1"/>
      <x:c r="F78" s="1"/>
      <x:c r="G78" s="1"/>
    </x:row>
    <x:row r="79">
      <x:c r="A79" s="1"/>
      <x:c r="B79" s="1"/>
      <x:c r="C79" s="1"/>
      <x:c r="D79" s="1"/>
      <x:c r="E79" s="1"/>
      <x:c r="F79" s="1"/>
      <x:c r="G79" s="1"/>
    </x:row>
    <x:row r="80">
      <x:c r="A80" s="1"/>
      <x:c r="B80" s="1"/>
      <x:c r="C80" s="1"/>
      <x:c r="D80" s="1"/>
      <x:c r="E80" s="1"/>
      <x:c r="F80" s="1"/>
      <x:c r="G80" s="1"/>
    </x:row>
    <x:row r="81">
      <x:c r="A81" s="1"/>
      <x:c r="B81" s="1"/>
      <x:c r="C81" s="1"/>
      <x:c r="D81" s="1"/>
      <x:c r="E81" s="1"/>
      <x:c r="F81" s="1"/>
      <x:c r="G81" s="1"/>
    </x:row>
    <x:row r="82">
      <x:c r="A82" s="1"/>
      <x:c r="B82" s="1"/>
      <x:c r="C82" s="1"/>
      <x:c r="D82" s="1"/>
      <x:c r="E82" s="1"/>
      <x:c r="F82" s="1"/>
      <x:c r="G82" s="1"/>
    </x:row>
    <x:row r="83">
      <x:c r="A83" s="1"/>
      <x:c r="B83" s="1"/>
      <x:c r="C83" s="1"/>
      <x:c r="D83" s="1"/>
      <x:c r="E83" s="1"/>
      <x:c r="F83" s="1"/>
      <x:c r="G83" s="1"/>
    </x:row>
    <x:row r="84">
      <x:c r="A84" s="1"/>
      <x:c r="B84" s="1"/>
      <x:c r="C84" s="1"/>
      <x:c r="D84" s="1"/>
      <x:c r="E84" s="1"/>
      <x:c r="F84" s="1"/>
      <x:c r="G84" s="1"/>
    </x:row>
    <x:row r="85">
      <x:c r="A85" s="1"/>
      <x:c r="B85" s="1"/>
      <x:c r="C85" s="1"/>
      <x:c r="D85" s="1"/>
      <x:c r="E85" s="1"/>
      <x:c r="F85" s="1"/>
      <x:c r="G85" s="1"/>
    </x:row>
    <x:row r="86">
      <x:c r="A86" s="1"/>
      <x:c r="B86" s="1"/>
      <x:c r="C86" s="1"/>
      <x:c r="D86" s="1"/>
      <x:c r="E86" s="1"/>
      <x:c r="F86" s="1"/>
      <x:c r="G86" s="1"/>
    </x:row>
    <x:row r="87">
      <x:c r="A87" s="1"/>
      <x:c r="B87" s="1"/>
      <x:c r="C87" s="1"/>
      <x:c r="D87" s="1"/>
      <x:c r="E87" s="1"/>
      <x:c r="F87" s="1"/>
      <x:c r="G87" s="1"/>
    </x:row>
    <x:row r="88">
      <x:c r="A88" s="1"/>
      <x:c r="B88" s="1"/>
      <x:c r="C88" s="1"/>
      <x:c r="D88" s="1"/>
      <x:c r="E88" s="1"/>
      <x:c r="F88" s="1"/>
      <x:c r="G88" s="1"/>
    </x:row>
    <x:row r="89">
      <x:c r="A89" s="1"/>
      <x:c r="B89" s="1"/>
      <x:c r="C89" s="1"/>
      <x:c r="D89" s="1"/>
      <x:c r="E89" s="1"/>
      <x:c r="F89" s="1"/>
      <x:c r="G89" s="1"/>
    </x:row>
    <x:row r="90">
      <x:c r="A90" s="1"/>
      <x:c r="B90" s="1"/>
      <x:c r="C90" s="1"/>
      <x:c r="D90" s="1"/>
      <x:c r="E90" s="1"/>
      <x:c r="F90" s="1"/>
      <x:c r="G90" s="1"/>
    </x:row>
  </x:sheetData>
  <x:mergeCells>
    <x:mergeCell ref="A2:G2"/>
    <x:mergeCell ref="A3:G3"/>
    <x:mergeCell ref="A52:D52"/>
    <x:mergeCell ref="E52:G52"/>
    <x:mergeCell ref="A53:D53"/>
    <x:mergeCell ref="E53:G53"/>
    <x:mergeCell ref="A54:D54"/>
    <x:mergeCell ref="E54:G54"/>
    <x:mergeCell ref="A55:D55"/>
    <x:mergeCell ref="E55:G55"/>
    <x:mergeCell ref="A56:D56"/>
    <x:mergeCell ref="E56:G56"/>
    <x:mergeCell ref="A51:G51"/>
    <x:mergeCell ref="B25:D25"/>
  </x:mergeCells>
  <x:dataValidations count="1">
    <x:dataValidation type="decimal" operator="between" sqref="B26">
      <x:formula1>0</x:formula1>
      <x:formula2>1</x:formula2>
    </x:dataValidation>
  </x:dataValidations>
  <x:pageMargins left="0.7" right="0.7" top="0.75" bottom="0.75" header="0.3" footer="0.3"/>
  <x:legacyDrawing xmlns:r="http://schemas.openxmlformats.org/officeDocument/2006/relationships" r:id="R4b0a053d21cc46ae"/>
</x:worksheet>
</file>

<file path=xl/worksheets/sheet5.xml><?xml version="1.0" encoding="utf-8"?>
<x:worksheet xmlns:x="http://schemas.openxmlformats.org/spreadsheetml/2006/main">
  <x:sheetViews>
    <x:sheetView showGridLines="0" workbookViewId="0"/>
  </x:sheetViews>
  <x:sheetFormatPr defaultRowHeight="15"/>
  <x:cols>
    <x:col min="1" max="1" width="42" hidden="0" customWidth="1"/>
    <x:col min="2" max="2" width="13" hidden="0" customWidth="1"/>
    <x:col min="3" max="3" width="19" hidden="0" customWidth="1"/>
    <x:col min="4" max="4" width="66" hidden="0" customWidth="1"/>
  </x:cols>
  <x:sheetData>
    <x:row r="1" ht="30" customHeight="1">
      <x:c r="A1" s="238" t="str">
        <x:v>Model checks and source reconciliations</x:v>
      </x:c>
      <x:c r="B1" s="238"/>
      <x:c r="C1" s="238"/>
      <x:c r="D1" s="238"/>
    </x:row>
    <x:row r="2" ht="30" customHeight="1">
      <x:c r="A2" s="240" t="str">
        <x:v>PASS means the listed arithmetic/guardrail reconciles; it does not validate assumed benefits or quote effectiveness.</x:v>
      </x:c>
      <x:c r="B2" s="240"/>
      <x:c r="C2" s="240"/>
      <x:c r="D2" s="240"/>
    </x:row>
    <x:row r="4">
      <x:c r="A4" s="242" t="str">
        <x:v>MODEL STATUS</x:v>
      </x:c>
      <x:c r="B4" s="242"/>
      <x:c r="C4" s="242"/>
      <x:c r="D4" s="242" t="str">
        <x:v>PASS only when every check below passes</x:v>
      </x:c>
    </x:row>
    <x:row r="5" ht="26" customHeight="1">
      <x:c r="A5" s="244" t="str">
        <x:v>Check</x:v>
      </x:c>
      <x:c r="B5" s="244" t="str">
        <x:v>Status</x:v>
      </x:c>
      <x:c r="C5" s="244" t="str">
        <x:v>Reference value</x:v>
      </x:c>
      <x:c r="D5" s="244" t="str">
        <x:v>Notes / where to validate</x:v>
      </x:c>
    </x:row>
    <x:row r="6" ht="34" customHeight="1">
      <x:c r="A6" s="246" t="str">
        <x:v>Baseline annual workload equals 9,792 hours</x:v>
      </x:c>
      <x:c r="B6" s="249" t="str">
        <x:f>IF(ABS(('Benefits'!B6*'Benefits'!C6+'Benefits'!B7*'Benefits'!C7+'Benefits'!B8*'Benefits'!C8)/60-9792)&lt;0.01,"PASS","FAIL")</x:f>
        <x:v>PASS</x:v>
      </x:c>
      <x:c r="C6" s="252" t="n">
        <x:f>('Benefits'!B6*'Benefits'!C6+'Benefits'!B7*'Benefits'!C7+'Benefits'!B8*'Benefits'!C8)/60</x:f>
        <x:v>9792</x:v>
      </x:c>
      <x:c r="D6" s="246" t="str">
        <x:v>Annualized from three mutually exclusive work packages; do not multiply by 60 again.</x:v>
      </x:c>
    </x:row>
    <x:row r="7" ht="34" customHeight="1">
      <x:c r="A7" s="247" t="str">
        <x:v>Year 1 vendor fees reconcile to supplied quote ($79,200)</x:v>
      </x:c>
      <x:c r="B7" s="250" t="str">
        <x:f>IF(ABS('Inputs'!B10+'Inputs'!B11+'Inputs'!B13-79200)&lt;0.01,"PASS","FAIL")</x:f>
        <x:v>PASS</x:v>
      </x:c>
      <x:c r="C7" s="253" t="n">
        <x:f>'Inputs'!B10+'Inputs'!B11+'Inputs'!B13</x:f>
        <x:v>79200</x:v>
      </x:c>
      <x:c r="D7" s="247" t="str">
        <x:v>Subscription + support + one-time implementation; excludes tax and optional Credits.</x:v>
      </x:c>
    </x:row>
    <x:row r="8" ht="34" customHeight="1">
      <x:c r="A8" s="247" t="str">
        <x:v>Internal first-year time allocation equals $31,620</x:v>
      </x:c>
      <x:c r="B8" s="250" t="str">
        <x:f>IF(ABS(('Inputs'!B18+'Inputs'!B19+'Inputs'!B21*12)*'Inputs'!B20-31620)&lt;0.01,"PASS","FAIL")</x:f>
        <x:v>PASS</x:v>
      </x:c>
      <x:c r="C8" s="253" t="n">
        <x:f>('Inputs'!B18+'Inputs'!B19+'Inputs'!B21*12)*'Inputs'!B20</x:f>
        <x:v>31620</x:v>
      </x:c>
      <x:c r="D8" s="247" t="str">
        <x:v>Setup + training + 12 months of administration at $85/hour; non-cash allocation.</x:v>
      </x:c>
    </x:row>
    <x:row r="9" ht="34" customHeight="1">
      <x:c r="A9" s="247" t="str">
        <x:v>Year 1 benefit ramp stays within 0–100%</x:v>
      </x:c>
      <x:c r="B9" s="250" t="str">
        <x:f>IF(AND(MIN('Inputs'!B37:B48)&gt;=0,MAX('Inputs'!B37:B48)&lt;=1),"PASS","FAIL")</x:f>
        <x:v>PASS</x:v>
      </x:c>
      <x:c r="C9" s="253" t="n">
        <x:f>MAX('Inputs'!B37:B48)</x:f>
        <x:v>1</x:v>
      </x:c>
      <x:c r="D9" s="247" t="str">
        <x:v>Ramp is an assumption: 0, 0, 25%, 50%, 75%, then 100%.</x:v>
      </x:c>
    </x:row>
    <x:row r="10" ht="34" customHeight="1">
      <x:c r="A10" s="247" t="str">
        <x:v>Modeled realized cash savings remain $0 in both cases</x:v>
      </x:c>
      <x:c r="B10" s="250" t="str">
        <x:f>IF(AND('Inputs'!B32=0,'Inputs'!C32=0),"PASS","FAIL")</x:f>
        <x:v>PASS</x:v>
      </x:c>
      <x:c r="C10" s="253" t="n">
        <x:f>SUM('Inputs'!B32:C32)</x:f>
        <x:v>0</x:v>
      </x:c>
      <x:c r="D10" s="247" t="str">
        <x:v>No customer cash saving or headcount reduction is evidenced in the supplied materials.</x:v>
      </x:c>
    </x:row>
    <x:row r="11" ht="34" customHeight="1">
      <x:c r="A11" s="247" t="str">
        <x:v>Year 1 economic cost is within the evaluation ceiling (before tax)</x:v>
      </x:c>
      <x:c r="B11" s="250" t="str">
        <x:f>IF(AND(ISNUMBER('ROI'!B14),ISNUMBER('Inputs'!B27)),IF('ROI'!B14&lt;='Inputs'!B27,"PASS","FAIL"),"REVIEW")</x:f>
        <x:v>PASS</x:v>
      </x:c>
      <x:c r="C11" s="253" t="n">
        <x:f>'ROI'!B14</x:f>
        <x:v>110820</x:v>
      </x:c>
      <x:c r="D11" s="247" t="str">
        <x:v>Evaluation ceiling is linked to Inputs!B27; it is not purchasing authority. Applicable taxes are excluded.</x:v>
      </x:c>
    </x:row>
    <x:row r="12" ht="34" customHeight="1">
      <x:c r="A12" s="256" t="str">
        <x:v>Overall model status</x:v>
      </x:c>
      <x:c r="B12" s="256" t="str">
        <x:f>IF(AND(B6="PASS",B7="PASS",B8="PASS",B9="PASS",B10="PASS",B11="PASS"),"PASS","FAIL")</x:f>
        <x:v>PASS</x:v>
      </x:c>
      <x:c r="C12" s="248"/>
      <x:c r="D12" s="248"/>
    </x:row>
  </x:sheetData>
  <x:mergeCells>
    <x:mergeCell ref="A1:D1"/>
    <x:mergeCell ref="A2:D2"/>
  </x:mergeCells>
  <x:pageMargins left="0.7" right="0.7" top="0.75" bottom="0.75" header="0.3" footer="0.3"/>
</x:worksheet>
</file>